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ctrlProps/ctrlProp2.xml" ContentType="application/vnd.ms-excel.controlproperties+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3.xml" ContentType="application/vnd.openxmlformats-officedocument.drawing+xml"/>
  <Override PartName="/xl/ctrlProps/ctrlProp3.xml" ContentType="application/vnd.ms-excel.controlproperties+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4.xml" ContentType="application/vnd.openxmlformats-officedocument.drawing+xml"/>
  <Override PartName="/xl/ctrlProps/ctrlProp4.xml" ContentType="application/vnd.ms-excel.controlproperties+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drawings/drawing8.xml" ContentType="application/vnd.openxmlformats-officedocument.drawing+xml"/>
  <Override PartName="/xl/ctrlProps/ctrlProp8.xml" ContentType="application/vnd.ms-excel.controlproperties+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drawings/drawing9.xml" ContentType="application/vnd.openxmlformats-officedocument.drawing+xml"/>
  <Override PartName="/xl/ctrlProps/ctrlProp9.xml" ContentType="application/vnd.ms-excel.controlproperties+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drawings/drawing10.xml" ContentType="application/vnd.openxmlformats-officedocument.drawing+xml"/>
  <Override PartName="/xl/ctrlProps/ctrlProp10.xml" ContentType="application/vnd.ms-excel.controlproperties+xml"/>
  <Override PartName="/xl/drawings/drawing11.xml" ContentType="application/vnd.openxmlformats-officedocument.drawing+xml"/>
  <Override PartName="/xl/ctrlProps/ctrlProp11.xml" ContentType="application/vnd.ms-excel.controlproperties+xml"/>
  <Override PartName="/xl/drawings/drawing12.xml" ContentType="application/vnd.openxmlformats-officedocument.drawing+xml"/>
  <Override PartName="/xl/ctrlProps/ctrlProp12.xml" ContentType="application/vnd.ms-excel.controlproperties+xml"/>
  <Override PartName="/xl/tables/table22.xml" ContentType="application/vnd.openxmlformats-officedocument.spreadsheetml.table+xml"/>
  <Override PartName="/xl/tables/table23.xml" ContentType="application/vnd.openxmlformats-officedocument.spreadsheetml.table+xml"/>
  <Override PartName="/xl/drawings/drawing13.xml" ContentType="application/vnd.openxmlformats-officedocument.drawing+xml"/>
  <Override PartName="/xl/ctrlProps/ctrlProp13.xml" ContentType="application/vnd.ms-excel.controlproperties+xml"/>
  <Override PartName="/xl/tables/table24.xml" ContentType="application/vnd.openxmlformats-officedocument.spreadsheetml.table+xml"/>
  <Override PartName="/xl/tables/table25.xml" ContentType="application/vnd.openxmlformats-officedocument.spreadsheetml.table+xml"/>
  <Override PartName="/xl/drawings/drawing14.xml" ContentType="application/vnd.openxmlformats-officedocument.drawing+xml"/>
  <Override PartName="/xl/ctrlProps/ctrlProp14.xml" ContentType="application/vnd.ms-excel.controlproperties+xml"/>
  <Override PartName="/xl/tables/table26.xml" ContentType="application/vnd.openxmlformats-officedocument.spreadsheetml.table+xml"/>
  <Override PartName="/xl/tables/table27.xml" ContentType="application/vnd.openxmlformats-officedocument.spreadsheetml.table+xml"/>
  <Override PartName="/xl/drawings/drawing15.xml" ContentType="application/vnd.openxmlformats-officedocument.drawing+xml"/>
  <Override PartName="/xl/ctrlProps/ctrlProp15.xml" ContentType="application/vnd.ms-excel.controlproperties+xml"/>
  <Override PartName="/xl/tables/table28.xml" ContentType="application/vnd.openxmlformats-officedocument.spreadsheetml.table+xml"/>
  <Override PartName="/xl/tables/table29.xml" ContentType="application/vnd.openxmlformats-officedocument.spreadsheetml.table+xml"/>
  <Override PartName="/xl/drawings/drawing16.xml" ContentType="application/vnd.openxmlformats-officedocument.drawing+xml"/>
  <Override PartName="/xl/ctrlProps/ctrlProp16.xml" ContentType="application/vnd.ms-excel.controlproperties+xml"/>
  <Override PartName="/xl/drawings/drawing17.xml" ContentType="application/vnd.openxmlformats-officedocument.drawing+xml"/>
  <Override PartName="/xl/ctrlProps/ctrlProp17.xml" ContentType="application/vnd.ms-excel.controlproperties+xml"/>
  <Override PartName="/xl/drawings/drawing18.xml" ContentType="application/vnd.openxmlformats-officedocument.drawing+xml"/>
  <Override PartName="/xl/ctrlProps/ctrlProp18.xml" ContentType="application/vnd.ms-excel.controlproperties+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drawings/drawing19.xml" ContentType="application/vnd.openxmlformats-officedocument.drawing+xml"/>
  <Override PartName="/xl/ctrlProps/ctrlProp19.xml" ContentType="application/vnd.ms-excel.controlproperties+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drawings/drawing20.xml" ContentType="application/vnd.openxmlformats-officedocument.drawing+xml"/>
  <Override PartName="/xl/ctrlProps/ctrlProp20.xml" ContentType="application/vnd.ms-excel.controlproperties+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drawings/drawing21.xml" ContentType="application/vnd.openxmlformats-officedocument.drawing+xml"/>
  <Override PartName="/xl/ctrlProps/ctrlProp21.xml" ContentType="application/vnd.ms-excel.controlproperties+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drawings/drawing22.xml" ContentType="application/vnd.openxmlformats-officedocument.drawing+xml"/>
  <Override PartName="/xl/ctrlProps/ctrlProp22.xml" ContentType="application/vnd.ms-excel.controlproperties+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drawings/drawing23.xml" ContentType="application/vnd.openxmlformats-officedocument.drawing+xml"/>
  <Override PartName="/xl/ctrlProps/ctrlProp23.xml" ContentType="application/vnd.ms-excel.controlproperties+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drawings/drawing24.xml" ContentType="application/vnd.openxmlformats-officedocument.drawing+xml"/>
  <Override PartName="/xl/ctrlProps/ctrlProp24.xml" ContentType="application/vnd.ms-excel.controlproperties+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drawings/drawing25.xml" ContentType="application/vnd.openxmlformats-officedocument.drawing+xml"/>
  <Override PartName="/xl/ctrlProps/ctrlProp25.xml" ContentType="application/vnd.ms-excel.controlproperties+xml"/>
  <Override PartName="/xl/tables/table64.xml" ContentType="application/vnd.openxmlformats-officedocument.spreadsheetml.table+xml"/>
  <Override PartName="/xl/tables/table65.xml" ContentType="application/vnd.openxmlformats-officedocument.spreadsheetml.table+xml"/>
  <Override PartName="/xl/drawings/drawing26.xml" ContentType="application/vnd.openxmlformats-officedocument.drawing+xml"/>
  <Override PartName="/xl/ctrlProps/ctrlProp26.xml" ContentType="application/vnd.ms-excel.controlproperties+xml"/>
  <Override PartName="/xl/tables/table66.xml" ContentType="application/vnd.openxmlformats-officedocument.spreadsheetml.table+xml"/>
  <Override PartName="/xl/drawings/drawing27.xml" ContentType="application/vnd.openxmlformats-officedocument.drawing+xml"/>
  <Override PartName="/xl/ctrlProps/ctrlProp27.xml" ContentType="application/vnd.ms-excel.controlproperties+xml"/>
  <Override PartName="/xl/tables/table67.xml" ContentType="application/vnd.openxmlformats-officedocument.spreadsheetml.table+xml"/>
  <Override PartName="/xl/drawings/drawing28.xml" ContentType="application/vnd.openxmlformats-officedocument.drawing+xml"/>
  <Override PartName="/xl/ctrlProps/ctrlProp28.xml" ContentType="application/vnd.ms-excel.controlproperties+xml"/>
  <Override PartName="/xl/ctrlProps/ctrlProp29.xml" ContentType="application/vnd.ms-excel.controlproperties+xml"/>
  <Override PartName="/xl/tables/table68.xml" ContentType="application/vnd.openxmlformats-officedocument.spreadsheetml.table+xml"/>
  <Override PartName="/xl/drawings/drawing29.xml" ContentType="application/vnd.openxmlformats-officedocument.drawing+xml"/>
  <Override PartName="/xl/ctrlProps/ctrlProp30.xml" ContentType="application/vnd.ms-excel.controlproperties+xml"/>
  <Override PartName="/xl/tables/table69.xml" ContentType="application/vnd.openxmlformats-officedocument.spreadsheetml.table+xml"/>
  <Override PartName="/xl/tables/table70.xml" ContentType="application/vnd.openxmlformats-officedocument.spreadsheetml.table+xml"/>
  <Override PartName="/xl/drawings/drawing30.xml" ContentType="application/vnd.openxmlformats-officedocument.drawing+xml"/>
  <Override PartName="/xl/ctrlProps/ctrlProp31.xml" ContentType="application/vnd.ms-excel.controlproperties+xml"/>
  <Override PartName="/xl/ctrlProps/ctrlProp32.xml" ContentType="application/vnd.ms-excel.controlproperties+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drawings/drawing31.xml" ContentType="application/vnd.openxmlformats-officedocument.drawing+xml"/>
  <Override PartName="/xl/ctrlProps/ctrlProp33.xml" ContentType="application/vnd.ms-excel.controlproperties+xml"/>
  <Override PartName="/xl/tables/table74.xml" ContentType="application/vnd.openxmlformats-officedocument.spreadsheetml.table+xml"/>
  <Override PartName="/xl/tables/table75.xml" ContentType="application/vnd.openxmlformats-officedocument.spreadsheetml.table+xml"/>
  <Override PartName="/xl/drawings/drawing32.xml" ContentType="application/vnd.openxmlformats-officedocument.drawing+xml"/>
  <Override PartName="/xl/ctrlProps/ctrlProp34.xml" ContentType="application/vnd.ms-excel.controlproperties+xml"/>
  <Override PartName="/xl/tables/table76.xml" ContentType="application/vnd.openxmlformats-officedocument.spreadsheetml.table+xml"/>
  <Override PartName="/xl/drawings/drawing33.xml" ContentType="application/vnd.openxmlformats-officedocument.drawing+xml"/>
  <Override PartName="/xl/ctrlProps/ctrlProp35.xml" ContentType="application/vnd.ms-excel.controlproperties+xml"/>
  <Override PartName="/xl/tables/table77.xml" ContentType="application/vnd.openxmlformats-officedocument.spreadsheetml.table+xml"/>
  <Override PartName="/xl/drawings/drawing34.xml" ContentType="application/vnd.openxmlformats-officedocument.drawing+xml"/>
  <Override PartName="/xl/ctrlProps/ctrlProp36.xml" ContentType="application/vnd.ms-excel.controlproperties+xml"/>
  <Override PartName="/xl/tables/table78.xml" ContentType="application/vnd.openxmlformats-officedocument.spreadsheetml.table+xml"/>
  <Override PartName="/xl/drawings/drawing35.xml" ContentType="application/vnd.openxmlformats-officedocument.drawing+xml"/>
  <Override PartName="/xl/ctrlProps/ctrlProp37.xml" ContentType="application/vnd.ms-excel.controlproperties+xml"/>
  <Override PartName="/xl/tables/table79.xml" ContentType="application/vnd.openxmlformats-officedocument.spreadsheetml.table+xml"/>
  <Override PartName="/xl/drawings/drawing36.xml" ContentType="application/vnd.openxmlformats-officedocument.drawing+xml"/>
  <Override PartName="/xl/ctrlProps/ctrlProp38.xml" ContentType="application/vnd.ms-excel.controlproperties+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drawings/drawing37.xml" ContentType="application/vnd.openxmlformats-officedocument.drawing+xml"/>
  <Override PartName="/xl/ctrlProps/ctrlProp39.xml" ContentType="application/vnd.ms-excel.controlproperties+xml"/>
  <Override PartName="/xl/tables/table83.xml" ContentType="application/vnd.openxmlformats-officedocument.spreadsheetml.table+xml"/>
  <Override PartName="/xl/tables/table84.xml" ContentType="application/vnd.openxmlformats-officedocument.spreadsheetml.table+xml"/>
  <Override PartName="/xl/drawings/drawing38.xml" ContentType="application/vnd.openxmlformats-officedocument.drawing+xml"/>
  <Override PartName="/xl/ctrlProps/ctrlProp40.xml" ContentType="application/vnd.ms-excel.controlproperties+xml"/>
  <Override PartName="/xl/drawings/drawing39.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0.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41.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4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43.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44.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5.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104　精神科在院患者調査\R4 精神科在院患者調査\08 データ提供\03 ホームページ掲載用\"/>
    </mc:Choice>
  </mc:AlternateContent>
  <bookViews>
    <workbookView xWindow="-120" yWindow="-120" windowWidth="20730" windowHeight="11160" tabRatio="831"/>
  </bookViews>
  <sheets>
    <sheet name="巻末資料表紙" sheetId="157" r:id="rId1"/>
    <sheet name="2-Ⅰ" sheetId="88" r:id="rId2"/>
    <sheet name="２-Ⅱ" sheetId="89" r:id="rId3"/>
    <sheet name="２-Ⅲ" sheetId="90" r:id="rId4"/>
    <sheet name="２-Ⅳ" sheetId="91" r:id="rId5"/>
    <sheet name="２-Ⅴ" sheetId="93" r:id="rId6"/>
    <sheet name="２-Ⅵ" sheetId="95" r:id="rId7"/>
    <sheet name="３-Ⅰ" sheetId="98" r:id="rId8"/>
    <sheet name="３-Ⅱ" sheetId="99" r:id="rId9"/>
    <sheet name="３-Ⅲ" sheetId="100" r:id="rId10"/>
    <sheet name="３-Ⅳ" sheetId="102" r:id="rId11"/>
    <sheet name="３-Ⅴ" sheetId="104" r:id="rId12"/>
    <sheet name="４-Ⅰ" sheetId="79" r:id="rId13"/>
    <sheet name="４-Ⅱ" sheetId="80" r:id="rId14"/>
    <sheet name="４-Ⅲ" sheetId="81" r:id="rId15"/>
    <sheet name="４-Ⅳ" sheetId="82" r:id="rId16"/>
    <sheet name="４-Ⅴ" sheetId="84" r:id="rId17"/>
    <sheet name="４-Ⅵ" sheetId="85" r:id="rId18"/>
    <sheet name="5-Ⅰ①" sheetId="150" r:id="rId19"/>
    <sheet name="５-Ⅰ②" sheetId="113" r:id="rId20"/>
    <sheet name="５-Ⅰ③" sheetId="114" r:id="rId21"/>
    <sheet name="５-Ⅱ①" sheetId="120" r:id="rId22"/>
    <sheet name="５-Ⅱ②" sheetId="121" r:id="rId23"/>
    <sheet name="５-Ⅱ③" sheetId="122" r:id="rId24"/>
    <sheet name="５-Ⅱ④" sheetId="123" r:id="rId25"/>
    <sheet name="6-Ⅰ①" sheetId="159" r:id="rId26"/>
    <sheet name="6-Ⅰ②" sheetId="160" r:id="rId27"/>
    <sheet name="6-Ⅰ③" sheetId="161" r:id="rId28"/>
    <sheet name="6-Ⅰ④ " sheetId="162" r:id="rId29"/>
    <sheet name="6-Ⅰ⑤" sheetId="176" r:id="rId30"/>
    <sheet name="6-Ⅰ⑥ " sheetId="164" r:id="rId31"/>
    <sheet name="6-Ⅱ①" sheetId="165" r:id="rId32"/>
    <sheet name="6-Ⅱ②" sheetId="166" r:id="rId33"/>
    <sheet name="6-Ⅱ③" sheetId="167" r:id="rId34"/>
    <sheet name="6-Ⅱ④" sheetId="168" r:id="rId35"/>
    <sheet name="6-Ⅱ⑤" sheetId="169" r:id="rId36"/>
    <sheet name="6-Ⅱ⑥" sheetId="170" r:id="rId37"/>
    <sheet name="6-Ⅲ" sheetId="171" r:id="rId38"/>
    <sheet name="6-Ⅳ" sheetId="172" r:id="rId39"/>
    <sheet name="一覧表" sheetId="175" r:id="rId40"/>
    <sheet name="グラフ(年齢区分）" sheetId="151" r:id="rId41"/>
    <sheet name="グラフ(疾患名)" sheetId="152" r:id="rId42"/>
    <sheet name="グラフ(在院期間) " sheetId="153" r:id="rId43"/>
    <sheet name="グラフ(在院期間)  (2)" sheetId="158" r:id="rId44"/>
    <sheet name="グラフ(退院阻害要因＿１) " sheetId="155" r:id="rId45"/>
    <sheet name="グラフ(退院阻害要因＿２）" sheetId="156" r:id="rId46"/>
    <sheet name="グラフ(退院阻害要因＿２(寛解・院内寛解)" sheetId="174" r:id="rId47"/>
  </sheets>
  <definedNames>
    <definedName name="_xlnm.Print_Area" localSheetId="1">'2-Ⅰ'!$A$1:$I$16</definedName>
    <definedName name="_xlnm.Print_Area" localSheetId="2">'２-Ⅱ'!$A$1:$E$21</definedName>
    <definedName name="_xlnm.Print_Area" localSheetId="3">'２-Ⅲ'!$A$1:$K$21</definedName>
    <definedName name="_xlnm.Print_Area" localSheetId="4">'２-Ⅳ'!$A$1:$I$25</definedName>
    <definedName name="_xlnm.Print_Area" localSheetId="5">'２-Ⅴ'!$A$1:$C$11</definedName>
    <definedName name="_xlnm.Print_Area" localSheetId="6">'２-Ⅵ'!$A$1:$I$42</definedName>
    <definedName name="_xlnm.Print_Area" localSheetId="7">'３-Ⅰ'!$A$1:$I$17</definedName>
    <definedName name="_xlnm.Print_Area" localSheetId="8">'３-Ⅱ'!$A$1:$E$21</definedName>
    <definedName name="_xlnm.Print_Area" localSheetId="9">'３-Ⅲ'!$A$1:$K$21</definedName>
    <definedName name="_xlnm.Print_Area" localSheetId="10">'３-Ⅳ'!$A$1:$C$11</definedName>
    <definedName name="_xlnm.Print_Area" localSheetId="11">'３-Ⅴ'!$A$1:$I$42</definedName>
    <definedName name="_xlnm.Print_Area" localSheetId="12">'４-Ⅰ'!$A$1:$G$13</definedName>
    <definedName name="_xlnm.Print_Area" localSheetId="13">'４-Ⅱ'!$A$1:$C$21</definedName>
    <definedName name="_xlnm.Print_Area" localSheetId="14">'４-Ⅲ'!$B$1:$H$43</definedName>
    <definedName name="_xlnm.Print_Area" localSheetId="15">'４-Ⅳ'!$A$1:$H$26</definedName>
    <definedName name="_xlnm.Print_Area" localSheetId="16">'４-Ⅴ'!$A$1:$F$23</definedName>
    <definedName name="_xlnm.Print_Area" localSheetId="17">'４-Ⅵ'!$A$1:$K$41</definedName>
    <definedName name="_xlnm.Print_Area" localSheetId="18">'5-Ⅰ①'!$B$1:$F$67</definedName>
    <definedName name="_xlnm.Print_Area" localSheetId="19">'５-Ⅰ②'!$B$1:$J$67</definedName>
    <definedName name="_xlnm.Print_Area" localSheetId="20">'５-Ⅰ③'!$A$1:$J$69</definedName>
    <definedName name="_xlnm.Print_Area" localSheetId="21">'５-Ⅱ①'!$B$1:$M$31</definedName>
    <definedName name="_xlnm.Print_Area" localSheetId="22">'５-Ⅱ②'!$B$1:$M$31</definedName>
    <definedName name="_xlnm.Print_Area" localSheetId="23">'５-Ⅱ③'!$B$1:$L$33</definedName>
    <definedName name="_xlnm.Print_Area" localSheetId="24">'５-Ⅱ④'!$B$1:$M$31</definedName>
    <definedName name="_xlnm.Print_Area" localSheetId="25">'6-Ⅰ①'!$A$1:$J$27</definedName>
    <definedName name="_xlnm.Print_Area" localSheetId="26">'6-Ⅰ②'!$A$1:$J$15</definedName>
    <definedName name="_xlnm.Print_Area" localSheetId="27">'6-Ⅰ③'!$A$1:$J$35</definedName>
    <definedName name="_xlnm.Print_Area" localSheetId="28">'6-Ⅰ④ '!$A$1:$J$45</definedName>
    <definedName name="_xlnm.Print_Area" localSheetId="29">'6-Ⅰ⑤'!$A$1:$J$38</definedName>
    <definedName name="_xlnm.Print_Area" localSheetId="30">'6-Ⅰ⑥ '!$A$1:$J$63</definedName>
    <definedName name="_xlnm.Print_Area" localSheetId="31">'6-Ⅱ①'!$A$1:$K$27</definedName>
    <definedName name="_xlnm.Print_Area" localSheetId="32">'6-Ⅱ②'!$A$1:$K$15</definedName>
    <definedName name="_xlnm.Print_Area" localSheetId="33">'6-Ⅱ③'!$A$1:$K$35</definedName>
    <definedName name="_xlnm.Print_Area" localSheetId="34">'6-Ⅱ④'!$A$1:$K$45</definedName>
    <definedName name="_xlnm.Print_Area" localSheetId="35">'6-Ⅱ⑤'!$A$1:$K$17</definedName>
    <definedName name="_xlnm.Print_Area" localSheetId="36">'6-Ⅱ⑥'!$A$1:$K$63</definedName>
    <definedName name="_xlnm.Print_Area" localSheetId="37">'6-Ⅲ'!$A$1:$K$45</definedName>
    <definedName name="_xlnm.Print_Area" localSheetId="38">'6-Ⅳ'!$B$1:$Q$91</definedName>
    <definedName name="_xlnm.Print_Area" localSheetId="42">'グラフ(在院期間) '!$A$1:$J$44</definedName>
    <definedName name="_xlnm.Print_Area" localSheetId="43">'グラフ(在院期間)  (2)'!$A$1:$J$44</definedName>
    <definedName name="_xlnm.Print_Area" localSheetId="41">'グラフ(疾患名)'!$A$1:$K$61</definedName>
    <definedName name="_xlnm.Print_Area" localSheetId="44">'グラフ(退院阻害要因＿１) '!$A$1:$G$23</definedName>
    <definedName name="_xlnm.Print_Area" localSheetId="46">'グラフ(退院阻害要因＿２(寛解・院内寛解)'!$A$1:$I$88</definedName>
    <definedName name="_xlnm.Print_Area" localSheetId="45">'グラフ(退院阻害要因＿２）'!$A$1:$I$88</definedName>
    <definedName name="_xlnm.Print_Area" localSheetId="40">'グラフ(年齢区分）'!$A$1:$K$62</definedName>
    <definedName name="_xlnm.Print_Area" localSheetId="39">一覧表!$A$1:$H$72</definedName>
    <definedName name="_xlnm.Print_Area" localSheetId="0">巻末資料表紙!$A$1:$A$5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6" i="175" l="1"/>
  <c r="Q86" i="175"/>
  <c r="R86" i="175"/>
  <c r="P87" i="175"/>
  <c r="Q87" i="175"/>
  <c r="R87" i="175"/>
  <c r="P88" i="175"/>
  <c r="Q88" i="175"/>
  <c r="R88" i="175"/>
  <c r="P89" i="175"/>
  <c r="Q89" i="175"/>
  <c r="R89" i="175"/>
  <c r="P90" i="175"/>
  <c r="Q90" i="175"/>
  <c r="R90" i="175"/>
  <c r="P91" i="175"/>
  <c r="Q91" i="175"/>
  <c r="R91" i="175"/>
  <c r="P92" i="175"/>
  <c r="Q92" i="175"/>
  <c r="R92" i="175"/>
  <c r="P93" i="175"/>
  <c r="Q93" i="175"/>
  <c r="R93" i="175"/>
  <c r="P94" i="175"/>
  <c r="Q94" i="175"/>
  <c r="R94" i="175"/>
  <c r="P24" i="175"/>
  <c r="Q24" i="175"/>
  <c r="R24" i="175"/>
  <c r="P25" i="175"/>
  <c r="Q25" i="175"/>
  <c r="R25" i="175"/>
  <c r="P26" i="175"/>
  <c r="Q26" i="175"/>
  <c r="R26" i="175"/>
  <c r="P27" i="175"/>
  <c r="Q27" i="175"/>
  <c r="R27" i="175"/>
  <c r="P28" i="175"/>
  <c r="Q28" i="175"/>
  <c r="R28" i="175"/>
  <c r="P29" i="175"/>
  <c r="Q29" i="175"/>
  <c r="R29" i="175"/>
  <c r="P30" i="175"/>
  <c r="Q30" i="175"/>
  <c r="R30" i="175"/>
  <c r="P31" i="175"/>
  <c r="Q31" i="175"/>
  <c r="R31" i="175"/>
  <c r="P32" i="175"/>
  <c r="Q32" i="175"/>
  <c r="R32" i="175"/>
  <c r="AJ5" i="176" l="1"/>
  <c r="AK5" i="176"/>
  <c r="AL5" i="176"/>
  <c r="AM5" i="176"/>
  <c r="AN5" i="176"/>
  <c r="AO5" i="176"/>
  <c r="AP5" i="176"/>
  <c r="AQ5" i="176"/>
  <c r="AJ6" i="176"/>
  <c r="AK6" i="176"/>
  <c r="AL6" i="176"/>
  <c r="AM6" i="176"/>
  <c r="AN6" i="176"/>
  <c r="AO6" i="176"/>
  <c r="AP6" i="176"/>
  <c r="AQ6" i="176"/>
  <c r="AJ7" i="176"/>
  <c r="AK7" i="176"/>
  <c r="AL7" i="176"/>
  <c r="AM7" i="176"/>
  <c r="AN7" i="176"/>
  <c r="AO7" i="176"/>
  <c r="AP7" i="176"/>
  <c r="AQ7" i="176"/>
  <c r="AJ8" i="176"/>
  <c r="AK8" i="176"/>
  <c r="AL8" i="176"/>
  <c r="AM8" i="176"/>
  <c r="AN8" i="176"/>
  <c r="AO8" i="176"/>
  <c r="AP8" i="176"/>
  <c r="AQ8" i="176"/>
  <c r="AJ9" i="176"/>
  <c r="AK9" i="176"/>
  <c r="AL9" i="176"/>
  <c r="AM9" i="176"/>
  <c r="AN9" i="176"/>
  <c r="AO9" i="176"/>
  <c r="AP9" i="176"/>
  <c r="AQ9" i="176"/>
  <c r="AJ10" i="176"/>
  <c r="AK10" i="176"/>
  <c r="AL10" i="176"/>
  <c r="AM10" i="176"/>
  <c r="AN10" i="176"/>
  <c r="AO10" i="176"/>
  <c r="AP10" i="176"/>
  <c r="AQ10" i="176"/>
  <c r="AJ26" i="176"/>
  <c r="AK26" i="176"/>
  <c r="AL26" i="176"/>
  <c r="AM26" i="176"/>
  <c r="AN26" i="176"/>
  <c r="AO26" i="176"/>
  <c r="AP26" i="176"/>
  <c r="AQ26" i="176"/>
  <c r="AJ27" i="176"/>
  <c r="AK27" i="176"/>
  <c r="AL27" i="176"/>
  <c r="AM27" i="176"/>
  <c r="AN27" i="176"/>
  <c r="AO27" i="176"/>
  <c r="AP27" i="176"/>
  <c r="AQ27" i="176"/>
  <c r="AJ28" i="176"/>
  <c r="AK28" i="176"/>
  <c r="AL28" i="176"/>
  <c r="AM28" i="176"/>
  <c r="AN28" i="176"/>
  <c r="AO28" i="176"/>
  <c r="AP28" i="176"/>
  <c r="AQ28" i="176"/>
  <c r="AJ29" i="176"/>
  <c r="AK29" i="176"/>
  <c r="AL29" i="176"/>
  <c r="AM29" i="176"/>
  <c r="AN29" i="176"/>
  <c r="AO29" i="176"/>
  <c r="AP29" i="176"/>
  <c r="AQ29" i="176"/>
  <c r="AJ30" i="176"/>
  <c r="AK30" i="176"/>
  <c r="AL30" i="176"/>
  <c r="AM30" i="176"/>
  <c r="AN30" i="176"/>
  <c r="AO30" i="176"/>
  <c r="AP30" i="176"/>
  <c r="AQ30" i="176"/>
  <c r="AJ31" i="176"/>
  <c r="AK31" i="176"/>
  <c r="AL31" i="176"/>
  <c r="AM31" i="176"/>
  <c r="AN31" i="176"/>
  <c r="AO31" i="176"/>
  <c r="AP31" i="176"/>
  <c r="AQ31" i="176"/>
  <c r="I35" i="176" l="1"/>
  <c r="H35" i="176"/>
  <c r="G35" i="176"/>
  <c r="F35" i="176"/>
  <c r="E35" i="176"/>
  <c r="D35" i="176"/>
  <c r="C35" i="176"/>
  <c r="B35" i="176"/>
  <c r="I31" i="176"/>
  <c r="E31" i="176"/>
  <c r="I33" i="176"/>
  <c r="H33" i="176"/>
  <c r="G33" i="176"/>
  <c r="F33" i="176"/>
  <c r="E33" i="176"/>
  <c r="D33" i="176"/>
  <c r="C33" i="176"/>
  <c r="B33" i="176"/>
  <c r="H31" i="176"/>
  <c r="G31" i="176"/>
  <c r="F31" i="176"/>
  <c r="D31" i="176"/>
  <c r="C31" i="176"/>
  <c r="B31" i="176"/>
  <c r="I29" i="176"/>
  <c r="H29" i="176"/>
  <c r="G29" i="176"/>
  <c r="F29" i="176"/>
  <c r="E29" i="176"/>
  <c r="D29" i="176"/>
  <c r="C29" i="176"/>
  <c r="B29" i="176"/>
  <c r="H27" i="176"/>
  <c r="G27" i="176"/>
  <c r="D27" i="176"/>
  <c r="C27" i="176"/>
  <c r="B27" i="176"/>
  <c r="I27" i="176"/>
  <c r="F27" i="176"/>
  <c r="E27" i="176"/>
  <c r="I25" i="176"/>
  <c r="E25" i="176"/>
  <c r="D25" i="176"/>
  <c r="H25" i="176"/>
  <c r="G25" i="176"/>
  <c r="F25" i="176"/>
  <c r="C25" i="176"/>
  <c r="C37" i="176" s="1"/>
  <c r="B25" i="176"/>
  <c r="B37" i="176" s="1"/>
  <c r="B26" i="176" s="1"/>
  <c r="C14" i="176"/>
  <c r="I14" i="176"/>
  <c r="H14" i="176"/>
  <c r="G14" i="176"/>
  <c r="F14" i="176"/>
  <c r="E14" i="176"/>
  <c r="D14" i="176"/>
  <c r="B14" i="176"/>
  <c r="C10" i="176"/>
  <c r="I12" i="176"/>
  <c r="H12" i="176"/>
  <c r="G12" i="176"/>
  <c r="F12" i="176"/>
  <c r="E12" i="176"/>
  <c r="D12" i="176"/>
  <c r="C12" i="176"/>
  <c r="B12" i="176"/>
  <c r="I10" i="176"/>
  <c r="H10" i="176"/>
  <c r="G10" i="176"/>
  <c r="F10" i="176"/>
  <c r="E10" i="176"/>
  <c r="D10" i="176"/>
  <c r="B10" i="176"/>
  <c r="I8" i="176"/>
  <c r="H8" i="176"/>
  <c r="G8" i="176"/>
  <c r="F8" i="176"/>
  <c r="E8" i="176"/>
  <c r="D8" i="176"/>
  <c r="C8" i="176"/>
  <c r="B8" i="176"/>
  <c r="I6" i="176"/>
  <c r="G6" i="176"/>
  <c r="F6" i="176"/>
  <c r="E6" i="176"/>
  <c r="C6" i="176"/>
  <c r="B6" i="176"/>
  <c r="H6" i="176"/>
  <c r="D6" i="176"/>
  <c r="G4" i="176"/>
  <c r="F4" i="176"/>
  <c r="C4" i="176"/>
  <c r="B4" i="176"/>
  <c r="I4" i="176"/>
  <c r="H4" i="176"/>
  <c r="E4" i="176"/>
  <c r="D4" i="176"/>
  <c r="F37" i="176" l="1"/>
  <c r="F26" i="176" s="1"/>
  <c r="I16" i="176"/>
  <c r="I5" i="176" s="1"/>
  <c r="C16" i="176"/>
  <c r="C9" i="176" s="1"/>
  <c r="E16" i="176"/>
  <c r="E5" i="176" s="1"/>
  <c r="J8" i="176"/>
  <c r="I11" i="176"/>
  <c r="C28" i="176"/>
  <c r="C30" i="176"/>
  <c r="C32" i="176"/>
  <c r="C34" i="176"/>
  <c r="H16" i="176"/>
  <c r="H5" i="176" s="1"/>
  <c r="J4" i="176"/>
  <c r="B16" i="176"/>
  <c r="B9" i="176" s="1"/>
  <c r="F16" i="176"/>
  <c r="F7" i="176" s="1"/>
  <c r="J6" i="176"/>
  <c r="J10" i="176"/>
  <c r="B13" i="176"/>
  <c r="J12" i="176"/>
  <c r="F28" i="176"/>
  <c r="B36" i="176"/>
  <c r="J35" i="176"/>
  <c r="F36" i="176"/>
  <c r="G16" i="176"/>
  <c r="G11" i="176" s="1"/>
  <c r="I15" i="176"/>
  <c r="G37" i="176"/>
  <c r="G28" i="176" s="1"/>
  <c r="D37" i="176"/>
  <c r="D30" i="176" s="1"/>
  <c r="I28" i="176"/>
  <c r="C36" i="176"/>
  <c r="G36" i="176"/>
  <c r="D16" i="176"/>
  <c r="D5" i="176" s="1"/>
  <c r="I9" i="176"/>
  <c r="J14" i="176"/>
  <c r="B15" i="176"/>
  <c r="E37" i="176"/>
  <c r="E30" i="176" s="1"/>
  <c r="I37" i="176"/>
  <c r="I32" i="176" s="1"/>
  <c r="B28" i="176"/>
  <c r="J27" i="176"/>
  <c r="J29" i="176"/>
  <c r="B30" i="176"/>
  <c r="F30" i="176"/>
  <c r="B32" i="176"/>
  <c r="J31" i="176"/>
  <c r="F32" i="176"/>
  <c r="B34" i="176"/>
  <c r="J33" i="176"/>
  <c r="F34" i="176"/>
  <c r="D36" i="176"/>
  <c r="C26" i="176"/>
  <c r="C38" i="176" s="1"/>
  <c r="G26" i="176"/>
  <c r="H37" i="176"/>
  <c r="H36" i="176" s="1"/>
  <c r="J25" i="176"/>
  <c r="F11" i="176" l="1"/>
  <c r="B7" i="176"/>
  <c r="I7" i="176"/>
  <c r="E15" i="176"/>
  <c r="E13" i="176"/>
  <c r="F15" i="176"/>
  <c r="E9" i="176"/>
  <c r="I26" i="176"/>
  <c r="F13" i="176"/>
  <c r="F5" i="176"/>
  <c r="E11" i="176"/>
  <c r="E7" i="176"/>
  <c r="E28" i="176"/>
  <c r="B38" i="176"/>
  <c r="E26" i="176"/>
  <c r="D26" i="176"/>
  <c r="F38" i="176"/>
  <c r="G30" i="176"/>
  <c r="E32" i="176"/>
  <c r="I34" i="176"/>
  <c r="G34" i="176"/>
  <c r="B11" i="176"/>
  <c r="G7" i="176"/>
  <c r="G13" i="176"/>
  <c r="G5" i="176"/>
  <c r="C5" i="176"/>
  <c r="G15" i="176"/>
  <c r="C13" i="176"/>
  <c r="C15" i="176"/>
  <c r="G9" i="176"/>
  <c r="C7" i="176"/>
  <c r="D13" i="176"/>
  <c r="D11" i="176"/>
  <c r="D7" i="176"/>
  <c r="C11" i="176"/>
  <c r="I13" i="176"/>
  <c r="I17" i="176" s="1"/>
  <c r="H28" i="176"/>
  <c r="H26" i="176"/>
  <c r="H11" i="176"/>
  <c r="E34" i="176"/>
  <c r="D32" i="176"/>
  <c r="D28" i="176"/>
  <c r="H15" i="176"/>
  <c r="I36" i="176"/>
  <c r="F9" i="176"/>
  <c r="H32" i="176"/>
  <c r="I30" i="176"/>
  <c r="H9" i="176"/>
  <c r="H34" i="176"/>
  <c r="H30" i="176"/>
  <c r="D15" i="176"/>
  <c r="J16" i="176"/>
  <c r="J11" i="176" s="1"/>
  <c r="E36" i="176"/>
  <c r="G32" i="176"/>
  <c r="H7" i="176"/>
  <c r="J37" i="176"/>
  <c r="J36" i="176" s="1"/>
  <c r="H13" i="176"/>
  <c r="D9" i="176"/>
  <c r="D34" i="176"/>
  <c r="B5" i="176"/>
  <c r="E17" i="176" l="1"/>
  <c r="C17" i="176"/>
  <c r="B17" i="176"/>
  <c r="G17" i="176"/>
  <c r="H17" i="176"/>
  <c r="G38" i="176"/>
  <c r="H38" i="176"/>
  <c r="D38" i="176"/>
  <c r="F17" i="176"/>
  <c r="E38" i="176"/>
  <c r="I38" i="176"/>
  <c r="D17" i="176"/>
  <c r="J7" i="176"/>
  <c r="J34" i="176"/>
  <c r="J9" i="176"/>
  <c r="J5" i="176"/>
  <c r="J15" i="176"/>
  <c r="J13" i="176"/>
  <c r="J32" i="176"/>
  <c r="J28" i="176"/>
  <c r="J30" i="176"/>
  <c r="J26" i="176"/>
  <c r="J17" i="176" l="1"/>
  <c r="J38" i="176"/>
  <c r="B59" i="175" l="1"/>
  <c r="B50" i="175" l="1"/>
  <c r="C40" i="175"/>
  <c r="K121" i="175" l="1"/>
  <c r="L121" i="175"/>
  <c r="M121" i="175"/>
  <c r="G70" i="175"/>
  <c r="H70" i="175"/>
  <c r="G71" i="175"/>
  <c r="H71" i="175"/>
  <c r="G34" i="175"/>
  <c r="H34" i="175"/>
  <c r="G35" i="175"/>
  <c r="H35" i="175"/>
  <c r="K59" i="175"/>
  <c r="L59" i="175"/>
  <c r="M59" i="175"/>
  <c r="K3" i="175"/>
  <c r="L3" i="175"/>
  <c r="M3" i="175"/>
  <c r="K4" i="175"/>
  <c r="L4" i="175"/>
  <c r="M4" i="175"/>
  <c r="K5" i="175"/>
  <c r="L5" i="175"/>
  <c r="M5" i="175"/>
  <c r="K6" i="175"/>
  <c r="L6" i="175"/>
  <c r="M6" i="175"/>
  <c r="K7" i="175"/>
  <c r="L7" i="175"/>
  <c r="M7" i="175"/>
  <c r="K8" i="175"/>
  <c r="B9" i="175" s="1"/>
  <c r="L8" i="175"/>
  <c r="M8" i="175"/>
  <c r="K9" i="175"/>
  <c r="L9" i="175"/>
  <c r="C10" i="175" s="1"/>
  <c r="M9" i="175"/>
  <c r="K10" i="175"/>
  <c r="L10" i="175"/>
  <c r="M10" i="175"/>
  <c r="C11" i="175" s="1"/>
  <c r="K11" i="175"/>
  <c r="L11" i="175"/>
  <c r="M11" i="175"/>
  <c r="K12" i="175"/>
  <c r="B13" i="175" s="1"/>
  <c r="L12" i="175"/>
  <c r="M12" i="175"/>
  <c r="K13" i="175"/>
  <c r="L13" i="175"/>
  <c r="C14" i="175" s="1"/>
  <c r="M13" i="175"/>
  <c r="K14" i="175"/>
  <c r="L14" i="175"/>
  <c r="M14" i="175"/>
  <c r="K24" i="175"/>
  <c r="L24" i="175"/>
  <c r="M24" i="175"/>
  <c r="G4" i="175"/>
  <c r="H4" i="175"/>
  <c r="K25" i="175"/>
  <c r="L25" i="175"/>
  <c r="M25" i="175"/>
  <c r="G5" i="175"/>
  <c r="H5" i="175"/>
  <c r="K26" i="175"/>
  <c r="L26" i="175"/>
  <c r="M26" i="175"/>
  <c r="G6" i="175"/>
  <c r="K27" i="175"/>
  <c r="L27" i="175"/>
  <c r="M27" i="175"/>
  <c r="H7" i="175"/>
  <c r="K28" i="175"/>
  <c r="L28" i="175"/>
  <c r="M28" i="175"/>
  <c r="K29" i="175"/>
  <c r="L29" i="175"/>
  <c r="C20" i="175" s="1"/>
  <c r="M29" i="175"/>
  <c r="G9" i="175"/>
  <c r="K30" i="175"/>
  <c r="L30" i="175"/>
  <c r="M30" i="175"/>
  <c r="G10" i="175"/>
  <c r="H10" i="175"/>
  <c r="K31" i="175"/>
  <c r="L31" i="175"/>
  <c r="M31" i="175"/>
  <c r="G11" i="175"/>
  <c r="H11" i="175"/>
  <c r="K32" i="175"/>
  <c r="L32" i="175"/>
  <c r="M32" i="175"/>
  <c r="G12" i="175"/>
  <c r="H12" i="175"/>
  <c r="K33" i="175"/>
  <c r="L33" i="175"/>
  <c r="C21" i="175" s="1"/>
  <c r="M33" i="175"/>
  <c r="K34" i="175"/>
  <c r="L34" i="175"/>
  <c r="M34" i="175"/>
  <c r="K35" i="175"/>
  <c r="L35" i="175"/>
  <c r="M35" i="175"/>
  <c r="K36" i="175"/>
  <c r="B21" i="175" s="1"/>
  <c r="L36" i="175"/>
  <c r="M36" i="175"/>
  <c r="K37" i="175"/>
  <c r="L37" i="175"/>
  <c r="M37" i="175"/>
  <c r="K38" i="175"/>
  <c r="L38" i="175"/>
  <c r="M38" i="175"/>
  <c r="C22" i="175" s="1"/>
  <c r="K39" i="175"/>
  <c r="L39" i="175"/>
  <c r="M39" i="175"/>
  <c r="K40" i="175"/>
  <c r="B24" i="175" s="1"/>
  <c r="L40" i="175"/>
  <c r="M40" i="175"/>
  <c r="K43" i="175"/>
  <c r="L43" i="175"/>
  <c r="H19" i="175" s="1"/>
  <c r="M43" i="175"/>
  <c r="P43" i="175"/>
  <c r="Q43" i="175"/>
  <c r="K44" i="175"/>
  <c r="G20" i="175" s="1"/>
  <c r="L44" i="175"/>
  <c r="M44" i="175"/>
  <c r="P44" i="175"/>
  <c r="Q44" i="175"/>
  <c r="K45" i="175"/>
  <c r="L45" i="175"/>
  <c r="M45" i="175"/>
  <c r="P45" i="175"/>
  <c r="B30" i="175" s="1"/>
  <c r="Q45" i="175"/>
  <c r="K46" i="175"/>
  <c r="L46" i="175"/>
  <c r="M46" i="175"/>
  <c r="P46" i="175"/>
  <c r="Q46" i="175"/>
  <c r="K47" i="175"/>
  <c r="L47" i="175"/>
  <c r="H23" i="175" s="1"/>
  <c r="M47" i="175"/>
  <c r="P47" i="175"/>
  <c r="Q47" i="175"/>
  <c r="K48" i="175"/>
  <c r="G24" i="175" s="1"/>
  <c r="L48" i="175"/>
  <c r="M48" i="175"/>
  <c r="P48" i="175"/>
  <c r="Q48" i="175"/>
  <c r="K49" i="175"/>
  <c r="L49" i="175"/>
  <c r="M49" i="175"/>
  <c r="P49" i="175"/>
  <c r="B34" i="175" s="1"/>
  <c r="Q49" i="175"/>
  <c r="K50" i="175"/>
  <c r="L50" i="175"/>
  <c r="M50" i="175"/>
  <c r="K51" i="175"/>
  <c r="L51" i="175"/>
  <c r="M51" i="175"/>
  <c r="K52" i="175"/>
  <c r="G28" i="175" s="1"/>
  <c r="L52" i="175"/>
  <c r="M52" i="175"/>
  <c r="K53" i="175"/>
  <c r="L53" i="175"/>
  <c r="H29" i="175" s="1"/>
  <c r="M53" i="175"/>
  <c r="K54" i="175"/>
  <c r="L54" i="175"/>
  <c r="M54" i="175"/>
  <c r="H30" i="175" s="1"/>
  <c r="K55" i="175"/>
  <c r="L55" i="175"/>
  <c r="M55" i="175"/>
  <c r="K56" i="175"/>
  <c r="G32" i="175" s="1"/>
  <c r="L56" i="175"/>
  <c r="M56" i="175"/>
  <c r="K57" i="175"/>
  <c r="L57" i="175"/>
  <c r="H33" i="175" s="1"/>
  <c r="M57" i="175"/>
  <c r="K58" i="175"/>
  <c r="L58" i="175"/>
  <c r="M58" i="175"/>
  <c r="K65" i="175"/>
  <c r="L65" i="175"/>
  <c r="M65" i="175"/>
  <c r="K66" i="175"/>
  <c r="L66" i="175"/>
  <c r="M66" i="175"/>
  <c r="K67" i="175"/>
  <c r="L67" i="175"/>
  <c r="M67" i="175"/>
  <c r="K68" i="175"/>
  <c r="L68" i="175"/>
  <c r="M68" i="175"/>
  <c r="K69" i="175"/>
  <c r="L69" i="175"/>
  <c r="M69" i="175"/>
  <c r="K70" i="175"/>
  <c r="B45" i="175" s="1"/>
  <c r="L70" i="175"/>
  <c r="M70" i="175"/>
  <c r="K71" i="175"/>
  <c r="L71" i="175"/>
  <c r="C46" i="175" s="1"/>
  <c r="M71" i="175"/>
  <c r="K72" i="175"/>
  <c r="L72" i="175"/>
  <c r="M72" i="175"/>
  <c r="C47" i="175" s="1"/>
  <c r="K73" i="175"/>
  <c r="L73" i="175"/>
  <c r="M73" i="175"/>
  <c r="K74" i="175"/>
  <c r="B49" i="175" s="1"/>
  <c r="L74" i="175"/>
  <c r="M74" i="175"/>
  <c r="K75" i="175"/>
  <c r="L75" i="175"/>
  <c r="C50" i="175" s="1"/>
  <c r="M75" i="175"/>
  <c r="K76" i="175"/>
  <c r="L76" i="175"/>
  <c r="M76" i="175"/>
  <c r="K86" i="175"/>
  <c r="L86" i="175"/>
  <c r="M86" i="175"/>
  <c r="G40" i="175"/>
  <c r="K87" i="175"/>
  <c r="L87" i="175"/>
  <c r="M87" i="175"/>
  <c r="G41" i="175"/>
  <c r="K88" i="175"/>
  <c r="L88" i="175"/>
  <c r="M88" i="175"/>
  <c r="G42" i="175"/>
  <c r="K89" i="175"/>
  <c r="L89" i="175"/>
  <c r="M89" i="175"/>
  <c r="G43" i="175"/>
  <c r="K90" i="175"/>
  <c r="L90" i="175"/>
  <c r="M90" i="175"/>
  <c r="G44" i="175"/>
  <c r="K91" i="175"/>
  <c r="L91" i="175"/>
  <c r="M91" i="175"/>
  <c r="G45" i="175"/>
  <c r="K92" i="175"/>
  <c r="L92" i="175"/>
  <c r="M92" i="175"/>
  <c r="G46" i="175"/>
  <c r="K93" i="175"/>
  <c r="L93" i="175"/>
  <c r="M93" i="175"/>
  <c r="G47" i="175"/>
  <c r="K94" i="175"/>
  <c r="L94" i="175"/>
  <c r="M94" i="175"/>
  <c r="G48" i="175"/>
  <c r="K95" i="175"/>
  <c r="L95" i="175"/>
  <c r="M95" i="175"/>
  <c r="K96" i="175"/>
  <c r="L96" i="175"/>
  <c r="M96" i="175"/>
  <c r="K97" i="175"/>
  <c r="L97" i="175"/>
  <c r="M97" i="175"/>
  <c r="K98" i="175"/>
  <c r="L98" i="175"/>
  <c r="M98" i="175"/>
  <c r="K99" i="175"/>
  <c r="L99" i="175"/>
  <c r="M99" i="175"/>
  <c r="K100" i="175"/>
  <c r="L100" i="175"/>
  <c r="M100" i="175"/>
  <c r="K101" i="175"/>
  <c r="L101" i="175"/>
  <c r="M101" i="175"/>
  <c r="K102" i="175"/>
  <c r="L102" i="175"/>
  <c r="M102" i="175"/>
  <c r="K105" i="175"/>
  <c r="L105" i="175"/>
  <c r="H55" i="175" s="1"/>
  <c r="M105" i="175"/>
  <c r="P105" i="175"/>
  <c r="Q105" i="175"/>
  <c r="K106" i="175"/>
  <c r="G56" i="175" s="1"/>
  <c r="L106" i="175"/>
  <c r="M106" i="175"/>
  <c r="P106" i="175"/>
  <c r="Q106" i="175"/>
  <c r="K107" i="175"/>
  <c r="L107" i="175"/>
  <c r="M107" i="175"/>
  <c r="P107" i="175"/>
  <c r="B57" i="175" s="1"/>
  <c r="Q107" i="175"/>
  <c r="K108" i="175"/>
  <c r="L108" i="175"/>
  <c r="M108" i="175"/>
  <c r="P108" i="175"/>
  <c r="Q108" i="175"/>
  <c r="K109" i="175"/>
  <c r="L109" i="175"/>
  <c r="H59" i="175" s="1"/>
  <c r="M109" i="175"/>
  <c r="P109" i="175"/>
  <c r="Q109" i="175"/>
  <c r="K110" i="175"/>
  <c r="G60" i="175" s="1"/>
  <c r="L110" i="175"/>
  <c r="M110" i="175"/>
  <c r="P110" i="175"/>
  <c r="Q110" i="175"/>
  <c r="K111" i="175"/>
  <c r="L111" i="175"/>
  <c r="M111" i="175"/>
  <c r="P111" i="175"/>
  <c r="B61" i="175" s="1"/>
  <c r="Q111" i="175"/>
  <c r="K112" i="175"/>
  <c r="L112" i="175"/>
  <c r="M112" i="175"/>
  <c r="K113" i="175"/>
  <c r="L113" i="175"/>
  <c r="M113" i="175"/>
  <c r="K114" i="175"/>
  <c r="G64" i="175" s="1"/>
  <c r="L114" i="175"/>
  <c r="M114" i="175"/>
  <c r="K115" i="175"/>
  <c r="L115" i="175"/>
  <c r="H65" i="175" s="1"/>
  <c r="M115" i="175"/>
  <c r="K116" i="175"/>
  <c r="L116" i="175"/>
  <c r="M116" i="175"/>
  <c r="H66" i="175" s="1"/>
  <c r="K117" i="175"/>
  <c r="L117" i="175"/>
  <c r="M117" i="175"/>
  <c r="K118" i="175"/>
  <c r="G68" i="175" s="1"/>
  <c r="L118" i="175"/>
  <c r="M118" i="175"/>
  <c r="K119" i="175"/>
  <c r="L119" i="175"/>
  <c r="H69" i="175" s="1"/>
  <c r="M119" i="175"/>
  <c r="K120" i="175"/>
  <c r="L120" i="175"/>
  <c r="M120" i="175"/>
  <c r="H68" i="175"/>
  <c r="G66" i="175"/>
  <c r="H64" i="175"/>
  <c r="C61" i="175"/>
  <c r="H60" i="175"/>
  <c r="C58" i="175"/>
  <c r="B58" i="175"/>
  <c r="C57" i="175"/>
  <c r="H56" i="175"/>
  <c r="G69" i="175"/>
  <c r="C60" i="175"/>
  <c r="B60" i="175"/>
  <c r="C59" i="175"/>
  <c r="H67" i="175"/>
  <c r="G67" i="175"/>
  <c r="G65" i="175"/>
  <c r="C56" i="175"/>
  <c r="B56" i="175"/>
  <c r="C55" i="175"/>
  <c r="B55" i="175"/>
  <c r="H63" i="175"/>
  <c r="G63" i="175"/>
  <c r="H62" i="175"/>
  <c r="G62" i="175"/>
  <c r="H61" i="175"/>
  <c r="G61" i="175"/>
  <c r="G59" i="175"/>
  <c r="H58" i="175"/>
  <c r="G58" i="175"/>
  <c r="H57" i="175"/>
  <c r="G57" i="175"/>
  <c r="G55" i="175"/>
  <c r="C51" i="175"/>
  <c r="B51" i="175"/>
  <c r="C49" i="175"/>
  <c r="C48" i="175"/>
  <c r="B48" i="175"/>
  <c r="B47" i="175"/>
  <c r="B46" i="175"/>
  <c r="H45" i="175"/>
  <c r="C45" i="175"/>
  <c r="C44" i="175"/>
  <c r="B44" i="175"/>
  <c r="C43" i="175"/>
  <c r="B43" i="175"/>
  <c r="B42" i="175"/>
  <c r="C42" i="175"/>
  <c r="C41" i="175"/>
  <c r="B41" i="175"/>
  <c r="B40" i="175"/>
  <c r="H32" i="175"/>
  <c r="G30" i="175"/>
  <c r="H28" i="175"/>
  <c r="C34" i="175"/>
  <c r="H24" i="175"/>
  <c r="C31" i="175"/>
  <c r="B31" i="175"/>
  <c r="C30" i="175"/>
  <c r="H20" i="175"/>
  <c r="C24" i="175"/>
  <c r="C23" i="175"/>
  <c r="B23" i="175"/>
  <c r="B22" i="175"/>
  <c r="G33" i="175"/>
  <c r="C33" i="175"/>
  <c r="B33" i="175"/>
  <c r="C32" i="175"/>
  <c r="B32" i="175"/>
  <c r="H31" i="175"/>
  <c r="G31" i="175"/>
  <c r="G29" i="175"/>
  <c r="C29" i="175"/>
  <c r="B29" i="175"/>
  <c r="H8" i="175"/>
  <c r="B20" i="175"/>
  <c r="C28" i="175"/>
  <c r="B28" i="175"/>
  <c r="G7" i="175"/>
  <c r="H27" i="175"/>
  <c r="G27" i="175"/>
  <c r="H26" i="175"/>
  <c r="G26" i="175"/>
  <c r="H25" i="175"/>
  <c r="G25" i="175"/>
  <c r="C19" i="175"/>
  <c r="G23" i="175"/>
  <c r="H22" i="175"/>
  <c r="G22" i="175"/>
  <c r="H21" i="175"/>
  <c r="G21" i="175"/>
  <c r="G19" i="175"/>
  <c r="B19" i="175"/>
  <c r="C15" i="175"/>
  <c r="B15" i="175"/>
  <c r="B14" i="175"/>
  <c r="C13" i="175"/>
  <c r="C12" i="175"/>
  <c r="B12" i="175"/>
  <c r="B11" i="175"/>
  <c r="B10" i="175"/>
  <c r="H9" i="175"/>
  <c r="C9" i="175"/>
  <c r="G8" i="175"/>
  <c r="C8" i="175"/>
  <c r="B8" i="175"/>
  <c r="C7" i="175"/>
  <c r="B7" i="175"/>
  <c r="H6" i="175"/>
  <c r="B6" i="175"/>
  <c r="C6" i="175"/>
  <c r="C5" i="175"/>
  <c r="B5" i="175"/>
  <c r="C4" i="175"/>
  <c r="B4" i="175"/>
  <c r="H44" i="175" l="1"/>
  <c r="H42" i="175"/>
  <c r="H47" i="175"/>
  <c r="H43" i="175"/>
  <c r="H41" i="175"/>
  <c r="H48" i="175"/>
  <c r="H46" i="175"/>
  <c r="H40" i="175"/>
  <c r="B4" i="169"/>
  <c r="C4" i="169"/>
  <c r="D4" i="169"/>
  <c r="E4" i="169"/>
  <c r="F4" i="169"/>
  <c r="G4" i="169"/>
  <c r="H4" i="169"/>
  <c r="I4" i="169"/>
  <c r="J4" i="169"/>
  <c r="B6" i="169"/>
  <c r="C6" i="169"/>
  <c r="D6" i="169"/>
  <c r="E6" i="169"/>
  <c r="F6" i="169"/>
  <c r="G6" i="169"/>
  <c r="H6" i="169"/>
  <c r="I6" i="169"/>
  <c r="J6" i="169"/>
  <c r="B8" i="169"/>
  <c r="C8" i="169"/>
  <c r="D8" i="169"/>
  <c r="E8" i="169"/>
  <c r="F8" i="169"/>
  <c r="G8" i="169"/>
  <c r="H8" i="169"/>
  <c r="I8" i="169"/>
  <c r="J8" i="169"/>
  <c r="B10" i="169"/>
  <c r="C10" i="169"/>
  <c r="D10" i="169"/>
  <c r="E10" i="169"/>
  <c r="F10" i="169"/>
  <c r="G10" i="169"/>
  <c r="H10" i="169"/>
  <c r="I10" i="169"/>
  <c r="J10" i="169"/>
  <c r="B12" i="169"/>
  <c r="C12" i="169"/>
  <c r="D12" i="169"/>
  <c r="E12" i="169"/>
  <c r="F12" i="169"/>
  <c r="G12" i="169"/>
  <c r="H12" i="169"/>
  <c r="I12" i="169"/>
  <c r="J12" i="169"/>
  <c r="B14" i="169"/>
  <c r="C14" i="169"/>
  <c r="D14" i="169"/>
  <c r="E14" i="169"/>
  <c r="F14" i="169"/>
  <c r="G14" i="169"/>
  <c r="H14" i="169"/>
  <c r="I14" i="169"/>
  <c r="J14" i="169"/>
  <c r="G16" i="169"/>
  <c r="G7" i="169" s="1"/>
  <c r="K12" i="169" l="1"/>
  <c r="C16" i="169"/>
  <c r="C7" i="169" s="1"/>
  <c r="G9" i="169"/>
  <c r="K4" i="169"/>
  <c r="D16" i="169"/>
  <c r="D5" i="169" s="1"/>
  <c r="J16" i="169"/>
  <c r="J5" i="169" s="1"/>
  <c r="F16" i="169"/>
  <c r="F5" i="169" s="1"/>
  <c r="B16" i="169"/>
  <c r="B5" i="169" s="1"/>
  <c r="H16" i="169"/>
  <c r="H5" i="169" s="1"/>
  <c r="G11" i="169"/>
  <c r="K14" i="169"/>
  <c r="G13" i="169"/>
  <c r="C11" i="169"/>
  <c r="G5" i="169"/>
  <c r="I16" i="169"/>
  <c r="I13" i="169" s="1"/>
  <c r="E16" i="169"/>
  <c r="E7" i="169" s="1"/>
  <c r="G15" i="169"/>
  <c r="C13" i="169"/>
  <c r="K10" i="169"/>
  <c r="K6" i="169"/>
  <c r="C5" i="169"/>
  <c r="C15" i="169"/>
  <c r="K8" i="169"/>
  <c r="J13" i="169"/>
  <c r="F9" i="169"/>
  <c r="E15" i="169"/>
  <c r="H15" i="169"/>
  <c r="D15" i="169"/>
  <c r="D11" i="169"/>
  <c r="H7" i="169"/>
  <c r="D7" i="169"/>
  <c r="H11" i="169" l="1"/>
  <c r="B9" i="169"/>
  <c r="C9" i="169"/>
  <c r="F13" i="169"/>
  <c r="B7" i="169"/>
  <c r="F11" i="169"/>
  <c r="B15" i="169"/>
  <c r="F7" i="169"/>
  <c r="B13" i="169"/>
  <c r="F15" i="169"/>
  <c r="J11" i="169"/>
  <c r="E11" i="169"/>
  <c r="E9" i="169"/>
  <c r="D13" i="169"/>
  <c r="D17" i="169" s="1"/>
  <c r="E5" i="169"/>
  <c r="J9" i="169"/>
  <c r="D9" i="169"/>
  <c r="H9" i="169"/>
  <c r="H13" i="169"/>
  <c r="E13" i="169"/>
  <c r="J7" i="169"/>
  <c r="B11" i="169"/>
  <c r="J15" i="169"/>
  <c r="C17" i="169"/>
  <c r="I15" i="169"/>
  <c r="K16" i="169"/>
  <c r="I5" i="169"/>
  <c r="I11" i="169"/>
  <c r="G17" i="169"/>
  <c r="I7" i="169"/>
  <c r="I9" i="169"/>
  <c r="E17" i="169" l="1"/>
  <c r="B17" i="169"/>
  <c r="H17" i="169"/>
  <c r="F17" i="169"/>
  <c r="J17" i="169"/>
  <c r="K13" i="169"/>
  <c r="K15" i="169"/>
  <c r="K5" i="169"/>
  <c r="K11" i="169"/>
  <c r="K7" i="169"/>
  <c r="I17" i="169"/>
  <c r="K9" i="169"/>
  <c r="K17" i="169" l="1"/>
  <c r="D14" i="167" l="1"/>
  <c r="C12" i="167"/>
  <c r="B24" i="165"/>
  <c r="C12" i="160"/>
  <c r="C4" i="160"/>
  <c r="B4" i="160"/>
  <c r="AQ5" i="171" l="1"/>
  <c r="AP5" i="171"/>
  <c r="AS5" i="171"/>
  <c r="AR5" i="171"/>
  <c r="AO5" i="171"/>
  <c r="AT5" i="171"/>
  <c r="AL5" i="171"/>
  <c r="B4" i="170"/>
  <c r="B16" i="167"/>
  <c r="B12" i="167"/>
  <c r="B32" i="161"/>
  <c r="B30" i="167"/>
  <c r="B32" i="167"/>
  <c r="B10" i="167"/>
  <c r="B8" i="167"/>
  <c r="B6" i="167"/>
  <c r="AE13" i="159" l="1"/>
  <c r="AD13" i="159"/>
  <c r="AC13" i="159"/>
  <c r="AB13" i="159"/>
  <c r="AA13" i="159"/>
  <c r="Z13" i="159"/>
  <c r="Y13" i="159"/>
  <c r="X13" i="159"/>
  <c r="W13" i="159"/>
  <c r="V13" i="159"/>
  <c r="U13" i="159"/>
  <c r="T13" i="159"/>
  <c r="S13" i="159"/>
  <c r="R13" i="159"/>
  <c r="Q13" i="159"/>
  <c r="P13" i="159"/>
  <c r="O13" i="159"/>
  <c r="N13" i="159"/>
  <c r="M13" i="159"/>
  <c r="C14" i="120"/>
  <c r="I14" i="120"/>
  <c r="I50" i="114"/>
  <c r="B4" i="166" l="1"/>
  <c r="B24" i="164"/>
  <c r="I24" i="164"/>
  <c r="I4" i="160"/>
  <c r="P82" i="172" l="1"/>
  <c r="I82" i="172"/>
  <c r="P73" i="172"/>
  <c r="I73" i="172"/>
  <c r="Q73" i="172" s="1"/>
  <c r="I49" i="172"/>
  <c r="I50" i="172"/>
  <c r="I51" i="172"/>
  <c r="I52" i="172"/>
  <c r="I53" i="172"/>
  <c r="I54" i="172"/>
  <c r="I55" i="172"/>
  <c r="I56" i="172"/>
  <c r="I57" i="172"/>
  <c r="I58" i="172"/>
  <c r="I59" i="172"/>
  <c r="I60" i="172"/>
  <c r="I61" i="172"/>
  <c r="I62" i="172"/>
  <c r="I63" i="172"/>
  <c r="I64" i="172"/>
  <c r="I65" i="172"/>
  <c r="I66" i="172"/>
  <c r="I67" i="172"/>
  <c r="I68" i="172"/>
  <c r="I69" i="172"/>
  <c r="I70" i="172"/>
  <c r="I71" i="172"/>
  <c r="I72" i="172"/>
  <c r="N74" i="172"/>
  <c r="O74" i="172"/>
  <c r="M74" i="172"/>
  <c r="L74" i="172"/>
  <c r="K74" i="172"/>
  <c r="J74" i="172"/>
  <c r="H74" i="172"/>
  <c r="G74" i="172"/>
  <c r="F74" i="172"/>
  <c r="E74" i="172"/>
  <c r="D74" i="172"/>
  <c r="C74" i="172"/>
  <c r="O48" i="172"/>
  <c r="N48" i="172"/>
  <c r="M48" i="172"/>
  <c r="L48" i="172"/>
  <c r="K48" i="172"/>
  <c r="J48" i="172"/>
  <c r="H48" i="172"/>
  <c r="G48" i="172"/>
  <c r="F48" i="172"/>
  <c r="E48" i="172"/>
  <c r="D48" i="172"/>
  <c r="C48" i="172"/>
  <c r="J10" i="166"/>
  <c r="J4" i="166"/>
  <c r="B8" i="166"/>
  <c r="B6" i="166"/>
  <c r="D4" i="166"/>
  <c r="C4" i="166"/>
  <c r="E4" i="166"/>
  <c r="F4" i="166"/>
  <c r="G4" i="166"/>
  <c r="I4" i="166"/>
  <c r="H4" i="166"/>
  <c r="K4" i="166" l="1"/>
  <c r="Q82" i="172"/>
  <c r="H28" i="167"/>
  <c r="J28" i="167"/>
  <c r="I30" i="167"/>
  <c r="H32" i="167"/>
  <c r="I32" i="167"/>
  <c r="H6" i="90"/>
  <c r="P49" i="172"/>
  <c r="P50" i="172"/>
  <c r="Q50" i="172" s="1"/>
  <c r="P51" i="172"/>
  <c r="Q51" i="172" s="1"/>
  <c r="P52" i="172"/>
  <c r="P53" i="172"/>
  <c r="P54" i="172"/>
  <c r="P55" i="172"/>
  <c r="P56" i="172"/>
  <c r="Q56" i="172" s="1"/>
  <c r="P57" i="172"/>
  <c r="P58" i="172"/>
  <c r="P59" i="172"/>
  <c r="Q59" i="172" s="1"/>
  <c r="P60" i="172"/>
  <c r="P61" i="172"/>
  <c r="Q61" i="172" s="1"/>
  <c r="P62" i="172"/>
  <c r="P63" i="172"/>
  <c r="Q63" i="172" s="1"/>
  <c r="P64" i="172"/>
  <c r="P65" i="172"/>
  <c r="Q65" i="172" s="1"/>
  <c r="P66" i="172"/>
  <c r="P67" i="172"/>
  <c r="Q67" i="172" s="1"/>
  <c r="P68" i="172"/>
  <c r="P69" i="172"/>
  <c r="Q69" i="172" s="1"/>
  <c r="P70" i="172"/>
  <c r="P71" i="172"/>
  <c r="P72" i="172"/>
  <c r="I75" i="172"/>
  <c r="P75" i="172"/>
  <c r="I76" i="172"/>
  <c r="P76" i="172"/>
  <c r="Q76" i="172" s="1"/>
  <c r="I77" i="172"/>
  <c r="P77" i="172"/>
  <c r="I78" i="172"/>
  <c r="P78" i="172"/>
  <c r="I79" i="172"/>
  <c r="P79" i="172"/>
  <c r="I80" i="172"/>
  <c r="P80" i="172"/>
  <c r="I81" i="172"/>
  <c r="P81" i="172"/>
  <c r="C83" i="172"/>
  <c r="D83" i="172"/>
  <c r="E83" i="172"/>
  <c r="F83" i="172"/>
  <c r="G83" i="172"/>
  <c r="H83" i="172"/>
  <c r="J83" i="172"/>
  <c r="K83" i="172"/>
  <c r="L83" i="172"/>
  <c r="M83" i="172"/>
  <c r="N83" i="172"/>
  <c r="O83" i="172"/>
  <c r="I84" i="172"/>
  <c r="P84" i="172"/>
  <c r="I85" i="172"/>
  <c r="P85" i="172"/>
  <c r="I86" i="172"/>
  <c r="P86" i="172"/>
  <c r="I87" i="172"/>
  <c r="P87" i="172"/>
  <c r="I88" i="172"/>
  <c r="P88" i="172"/>
  <c r="I89" i="172"/>
  <c r="P89" i="172"/>
  <c r="I90" i="172"/>
  <c r="P90" i="172"/>
  <c r="C91" i="172"/>
  <c r="D91" i="172"/>
  <c r="E91" i="172"/>
  <c r="F91" i="172"/>
  <c r="G91" i="172"/>
  <c r="H91" i="172"/>
  <c r="J91" i="172"/>
  <c r="K91" i="172"/>
  <c r="L91" i="172"/>
  <c r="M91" i="172"/>
  <c r="N91" i="172"/>
  <c r="O91" i="172"/>
  <c r="J24" i="170"/>
  <c r="I24" i="170"/>
  <c r="H24" i="170"/>
  <c r="G24" i="170"/>
  <c r="F24" i="170"/>
  <c r="E24" i="170"/>
  <c r="D24" i="170"/>
  <c r="C24" i="170"/>
  <c r="B24" i="170"/>
  <c r="E16" i="170"/>
  <c r="F16" i="170"/>
  <c r="E14" i="170"/>
  <c r="E25" i="170" s="1"/>
  <c r="D14" i="170"/>
  <c r="C14" i="170"/>
  <c r="B14" i="170"/>
  <c r="J8" i="170"/>
  <c r="I8" i="170"/>
  <c r="H8" i="170"/>
  <c r="G8" i="170"/>
  <c r="F8" i="170"/>
  <c r="E8" i="170"/>
  <c r="D8" i="170"/>
  <c r="C8" i="170"/>
  <c r="B8" i="170"/>
  <c r="J4" i="170"/>
  <c r="J6" i="170"/>
  <c r="I6" i="170"/>
  <c r="H6" i="170"/>
  <c r="G6" i="170"/>
  <c r="F6" i="170"/>
  <c r="E6" i="170"/>
  <c r="D6" i="170"/>
  <c r="C6" i="170"/>
  <c r="B6" i="170"/>
  <c r="I4" i="170"/>
  <c r="H4" i="170"/>
  <c r="G4" i="170"/>
  <c r="F4" i="170"/>
  <c r="E4" i="170"/>
  <c r="D4" i="170"/>
  <c r="C4" i="170"/>
  <c r="P5" i="172"/>
  <c r="P6" i="172"/>
  <c r="P7" i="172"/>
  <c r="P8" i="172"/>
  <c r="P9" i="172"/>
  <c r="P10" i="172"/>
  <c r="P11" i="172"/>
  <c r="P12" i="172"/>
  <c r="P13" i="172"/>
  <c r="P14" i="172"/>
  <c r="P15" i="172"/>
  <c r="P16" i="172"/>
  <c r="P17" i="172"/>
  <c r="P18" i="172"/>
  <c r="P19" i="172"/>
  <c r="P20" i="172"/>
  <c r="P21" i="172"/>
  <c r="P22" i="172"/>
  <c r="P23" i="172"/>
  <c r="P24" i="172"/>
  <c r="P25" i="172"/>
  <c r="P26" i="172"/>
  <c r="P27" i="172"/>
  <c r="P28" i="172"/>
  <c r="P29" i="172"/>
  <c r="P30" i="172"/>
  <c r="P31" i="172"/>
  <c r="P32" i="172"/>
  <c r="P33" i="172"/>
  <c r="P34" i="172"/>
  <c r="P35" i="172"/>
  <c r="P36" i="172"/>
  <c r="P37" i="172"/>
  <c r="P38" i="172"/>
  <c r="P39" i="172"/>
  <c r="P40" i="172"/>
  <c r="P41" i="172"/>
  <c r="P42" i="172"/>
  <c r="P43" i="172"/>
  <c r="P44" i="172"/>
  <c r="P45" i="172"/>
  <c r="AU46" i="171"/>
  <c r="J42" i="171" s="1"/>
  <c r="AT46" i="171"/>
  <c r="I42" i="171" s="1"/>
  <c r="AS46" i="171"/>
  <c r="H42" i="171" s="1"/>
  <c r="AR46" i="171"/>
  <c r="G42" i="171" s="1"/>
  <c r="AQ46" i="171"/>
  <c r="F42" i="171" s="1"/>
  <c r="AP46" i="171"/>
  <c r="E42" i="171" s="1"/>
  <c r="AO46" i="171"/>
  <c r="D42" i="171" s="1"/>
  <c r="AN46" i="171"/>
  <c r="C42" i="171" s="1"/>
  <c r="AM46" i="171"/>
  <c r="AU45" i="171"/>
  <c r="J40" i="171" s="1"/>
  <c r="AT45" i="171"/>
  <c r="I40" i="171" s="1"/>
  <c r="AS45" i="171"/>
  <c r="H40" i="171" s="1"/>
  <c r="AR45" i="171"/>
  <c r="G40" i="171" s="1"/>
  <c r="AQ45" i="171"/>
  <c r="F40" i="171" s="1"/>
  <c r="AP45" i="171"/>
  <c r="E40" i="171" s="1"/>
  <c r="AO45" i="171"/>
  <c r="D40" i="171" s="1"/>
  <c r="AN45" i="171"/>
  <c r="C40" i="171" s="1"/>
  <c r="AM45" i="171"/>
  <c r="B40" i="171" s="1"/>
  <c r="AU44" i="171"/>
  <c r="AT44" i="171"/>
  <c r="AS44" i="171"/>
  <c r="AR44" i="171"/>
  <c r="AQ44" i="171"/>
  <c r="AP44" i="171"/>
  <c r="AO44" i="171"/>
  <c r="AN44" i="171"/>
  <c r="AM44" i="171"/>
  <c r="AU43" i="171"/>
  <c r="AT43" i="171"/>
  <c r="AS43" i="171"/>
  <c r="AR43" i="171"/>
  <c r="AQ43" i="171"/>
  <c r="AP43" i="171"/>
  <c r="AO43" i="171"/>
  <c r="AN43" i="171"/>
  <c r="AM43" i="171"/>
  <c r="AU42" i="171"/>
  <c r="AT42" i="171"/>
  <c r="AS42" i="171"/>
  <c r="AR42" i="171"/>
  <c r="AQ42" i="171"/>
  <c r="AP42" i="171"/>
  <c r="AO42" i="171"/>
  <c r="AN42" i="171"/>
  <c r="AM42" i="171"/>
  <c r="AU41" i="171"/>
  <c r="AT41" i="171"/>
  <c r="AS41" i="171"/>
  <c r="AR41" i="171"/>
  <c r="AQ41" i="171"/>
  <c r="AP41" i="171"/>
  <c r="AO41" i="171"/>
  <c r="AN41" i="171"/>
  <c r="AM41" i="171"/>
  <c r="AU40" i="171"/>
  <c r="AT40" i="171"/>
  <c r="AS40" i="171"/>
  <c r="AR40" i="171"/>
  <c r="AQ40" i="171"/>
  <c r="AP40" i="171"/>
  <c r="AO40" i="171"/>
  <c r="AN40" i="171"/>
  <c r="AM40" i="171"/>
  <c r="AU39" i="171"/>
  <c r="AT39" i="171"/>
  <c r="AS39" i="171"/>
  <c r="AR39" i="171"/>
  <c r="AQ39" i="171"/>
  <c r="AP39" i="171"/>
  <c r="AO39" i="171"/>
  <c r="AN39" i="171"/>
  <c r="AM39" i="171"/>
  <c r="AU38" i="171"/>
  <c r="AT38" i="171"/>
  <c r="AS38" i="171"/>
  <c r="AR38" i="171"/>
  <c r="AQ38" i="171"/>
  <c r="AP38" i="171"/>
  <c r="AO38" i="171"/>
  <c r="AN38" i="171"/>
  <c r="AM38" i="171"/>
  <c r="AU37" i="171"/>
  <c r="AT37" i="171"/>
  <c r="AS37" i="171"/>
  <c r="AR37" i="171"/>
  <c r="AQ37" i="171"/>
  <c r="AP37" i="171"/>
  <c r="AO37" i="171"/>
  <c r="AN37" i="171"/>
  <c r="AM37" i="171"/>
  <c r="AU36" i="171"/>
  <c r="AT36" i="171"/>
  <c r="AS36" i="171"/>
  <c r="AR36" i="171"/>
  <c r="AQ36" i="171"/>
  <c r="AP36" i="171"/>
  <c r="AO36" i="171"/>
  <c r="AN36" i="171"/>
  <c r="AM36" i="171"/>
  <c r="AU35" i="171"/>
  <c r="AT35" i="171"/>
  <c r="AS35" i="171"/>
  <c r="AR35" i="171"/>
  <c r="AQ35" i="171"/>
  <c r="AP35" i="171"/>
  <c r="AO35" i="171"/>
  <c r="AN35" i="171"/>
  <c r="AM35" i="171"/>
  <c r="AU34" i="171"/>
  <c r="AT34" i="171"/>
  <c r="AS34" i="171"/>
  <c r="AR34" i="171"/>
  <c r="AQ34" i="171"/>
  <c r="AP34" i="171"/>
  <c r="AO34" i="171"/>
  <c r="AN34" i="171"/>
  <c r="AM34" i="171"/>
  <c r="AU33" i="171"/>
  <c r="AT33" i="171"/>
  <c r="AS33" i="171"/>
  <c r="AR33" i="171"/>
  <c r="AQ33" i="171"/>
  <c r="AP33" i="171"/>
  <c r="AO33" i="171"/>
  <c r="AN33" i="171"/>
  <c r="AM33" i="171"/>
  <c r="AU32" i="171"/>
  <c r="AT32" i="171"/>
  <c r="AS32" i="171"/>
  <c r="AR32" i="171"/>
  <c r="AQ32" i="171"/>
  <c r="AP32" i="171"/>
  <c r="AO32" i="171"/>
  <c r="AN32" i="171"/>
  <c r="AM32" i="171"/>
  <c r="AU31" i="171"/>
  <c r="AT31" i="171"/>
  <c r="AS31" i="171"/>
  <c r="AR31" i="171"/>
  <c r="AQ31" i="171"/>
  <c r="AP31" i="171"/>
  <c r="AO31" i="171"/>
  <c r="AN31" i="171"/>
  <c r="AM31" i="171"/>
  <c r="AU30" i="171"/>
  <c r="AT30" i="171"/>
  <c r="AS30" i="171"/>
  <c r="AR30" i="171"/>
  <c r="AQ30" i="171"/>
  <c r="AP30" i="171"/>
  <c r="AO30" i="171"/>
  <c r="AN30" i="171"/>
  <c r="AM30" i="171"/>
  <c r="AU29" i="171"/>
  <c r="AT29" i="171"/>
  <c r="AS29" i="171"/>
  <c r="AR29" i="171"/>
  <c r="AQ29" i="171"/>
  <c r="AP29" i="171"/>
  <c r="AO29" i="171"/>
  <c r="AN29" i="171"/>
  <c r="AM29" i="171"/>
  <c r="AU28" i="171"/>
  <c r="AT28" i="171"/>
  <c r="AS28" i="171"/>
  <c r="AR28" i="171"/>
  <c r="AQ28" i="171"/>
  <c r="AP28" i="171"/>
  <c r="AO28" i="171"/>
  <c r="AN28" i="171"/>
  <c r="AM28" i="171"/>
  <c r="AT23" i="171"/>
  <c r="AS23" i="171"/>
  <c r="AR23" i="171"/>
  <c r="AQ23" i="171"/>
  <c r="AP23" i="171"/>
  <c r="AO23" i="171"/>
  <c r="AN23" i="171"/>
  <c r="AM23" i="171"/>
  <c r="AL23" i="171"/>
  <c r="AT22" i="171"/>
  <c r="AS22" i="171"/>
  <c r="AR22" i="171"/>
  <c r="AQ22" i="171"/>
  <c r="AP22" i="171"/>
  <c r="AO22" i="171"/>
  <c r="AN22" i="171"/>
  <c r="AM22" i="171"/>
  <c r="AL22" i="171"/>
  <c r="AT21" i="171"/>
  <c r="AS21" i="171"/>
  <c r="AR21" i="171"/>
  <c r="AQ21" i="171"/>
  <c r="AP21" i="171"/>
  <c r="AO21" i="171"/>
  <c r="AN21" i="171"/>
  <c r="AM21" i="171"/>
  <c r="AL21" i="171"/>
  <c r="AT20" i="171"/>
  <c r="AS20" i="171"/>
  <c r="AR20" i="171"/>
  <c r="AQ20" i="171"/>
  <c r="AP20" i="171"/>
  <c r="AO20" i="171"/>
  <c r="AN20" i="171"/>
  <c r="AM20" i="171"/>
  <c r="AL20" i="171"/>
  <c r="AT19" i="171"/>
  <c r="AS19" i="171"/>
  <c r="AR19" i="171"/>
  <c r="AQ19" i="171"/>
  <c r="AP19" i="171"/>
  <c r="AO19" i="171"/>
  <c r="AN19" i="171"/>
  <c r="AM19" i="171"/>
  <c r="AL19" i="171"/>
  <c r="AT18" i="171"/>
  <c r="AS18" i="171"/>
  <c r="AR18" i="171"/>
  <c r="AQ18" i="171"/>
  <c r="AP18" i="171"/>
  <c r="AO18" i="171"/>
  <c r="AN18" i="171"/>
  <c r="AM18" i="171"/>
  <c r="AL18" i="171"/>
  <c r="AT17" i="171"/>
  <c r="AS17" i="171"/>
  <c r="AR17" i="171"/>
  <c r="AQ17" i="171"/>
  <c r="AP17" i="171"/>
  <c r="AO17" i="171"/>
  <c r="AN17" i="171"/>
  <c r="AM17" i="171"/>
  <c r="AL17" i="171"/>
  <c r="AT16" i="171"/>
  <c r="AS16" i="171"/>
  <c r="AR16" i="171"/>
  <c r="AQ16" i="171"/>
  <c r="AP16" i="171"/>
  <c r="AO16" i="171"/>
  <c r="AN16" i="171"/>
  <c r="AM16" i="171"/>
  <c r="AL16" i="171"/>
  <c r="AT15" i="171"/>
  <c r="AS15" i="171"/>
  <c r="AR15" i="171"/>
  <c r="AQ15" i="171"/>
  <c r="AP15" i="171"/>
  <c r="AO15" i="171"/>
  <c r="AN15" i="171"/>
  <c r="AM15" i="171"/>
  <c r="AL15" i="171"/>
  <c r="AT14" i="171"/>
  <c r="AS14" i="171"/>
  <c r="AR14" i="171"/>
  <c r="AQ14" i="171"/>
  <c r="AP14" i="171"/>
  <c r="AO14" i="171"/>
  <c r="AN14" i="171"/>
  <c r="AM14" i="171"/>
  <c r="AL14" i="171"/>
  <c r="AT13" i="171"/>
  <c r="AS13" i="171"/>
  <c r="AR13" i="171"/>
  <c r="AQ13" i="171"/>
  <c r="AP13" i="171"/>
  <c r="AO13" i="171"/>
  <c r="AN13" i="171"/>
  <c r="AM13" i="171"/>
  <c r="AL13" i="171"/>
  <c r="AT12" i="171"/>
  <c r="AS12" i="171"/>
  <c r="AR12" i="171"/>
  <c r="AQ12" i="171"/>
  <c r="AP12" i="171"/>
  <c r="AO12" i="171"/>
  <c r="AN12" i="171"/>
  <c r="AM12" i="171"/>
  <c r="AL12" i="171"/>
  <c r="AT11" i="171"/>
  <c r="AS11" i="171"/>
  <c r="AR11" i="171"/>
  <c r="AQ11" i="171"/>
  <c r="AP11" i="171"/>
  <c r="AO11" i="171"/>
  <c r="AN11" i="171"/>
  <c r="AM11" i="171"/>
  <c r="AL11" i="171"/>
  <c r="AT10" i="171"/>
  <c r="AS10" i="171"/>
  <c r="AR10" i="171"/>
  <c r="AQ10" i="171"/>
  <c r="AP10" i="171"/>
  <c r="AO10" i="171"/>
  <c r="AN10" i="171"/>
  <c r="AM10" i="171"/>
  <c r="AL10" i="171"/>
  <c r="AT9" i="171"/>
  <c r="AS9" i="171"/>
  <c r="AR9" i="171"/>
  <c r="AQ9" i="171"/>
  <c r="AP9" i="171"/>
  <c r="AO9" i="171"/>
  <c r="AN9" i="171"/>
  <c r="AM9" i="171"/>
  <c r="AL9" i="171"/>
  <c r="AT8" i="171"/>
  <c r="AS8" i="171"/>
  <c r="AR8" i="171"/>
  <c r="AQ8" i="171"/>
  <c r="AP8" i="171"/>
  <c r="AO8" i="171"/>
  <c r="AN8" i="171"/>
  <c r="AM8" i="171"/>
  <c r="AL8" i="171"/>
  <c r="AT7" i="171"/>
  <c r="AS7" i="171"/>
  <c r="AR7" i="171"/>
  <c r="AQ7" i="171"/>
  <c r="AP7" i="171"/>
  <c r="AO7" i="171"/>
  <c r="AN7" i="171"/>
  <c r="AM7" i="171"/>
  <c r="AL7" i="171"/>
  <c r="AT6" i="171"/>
  <c r="AS6" i="171"/>
  <c r="AR6" i="171"/>
  <c r="AQ6" i="171"/>
  <c r="AP6" i="171"/>
  <c r="AO6" i="171"/>
  <c r="AN6" i="171"/>
  <c r="AM6" i="171"/>
  <c r="AL6" i="171"/>
  <c r="B5" i="171" s="1"/>
  <c r="AN5" i="171"/>
  <c r="AM5" i="171"/>
  <c r="J62" i="170"/>
  <c r="J60" i="170"/>
  <c r="J58" i="170"/>
  <c r="J56" i="170"/>
  <c r="J54" i="170"/>
  <c r="J52" i="170"/>
  <c r="J50" i="170"/>
  <c r="J48" i="170"/>
  <c r="J46" i="170"/>
  <c r="J44" i="170"/>
  <c r="J42" i="170"/>
  <c r="J40" i="170"/>
  <c r="J38" i="170"/>
  <c r="J36" i="170"/>
  <c r="J34" i="170"/>
  <c r="J32" i="170"/>
  <c r="J30" i="170"/>
  <c r="J28" i="170"/>
  <c r="J26" i="170"/>
  <c r="I26" i="170"/>
  <c r="H26" i="170"/>
  <c r="G26" i="170"/>
  <c r="F26" i="170"/>
  <c r="E26" i="170"/>
  <c r="D26" i="170"/>
  <c r="C26" i="170"/>
  <c r="B26" i="170"/>
  <c r="B27" i="170" s="1"/>
  <c r="C25" i="170"/>
  <c r="C27" i="170"/>
  <c r="B28" i="170"/>
  <c r="C28" i="170"/>
  <c r="D28" i="170"/>
  <c r="E28" i="170"/>
  <c r="F28" i="170"/>
  <c r="G28" i="170"/>
  <c r="H28" i="170"/>
  <c r="I28" i="170"/>
  <c r="B29" i="170"/>
  <c r="C29" i="170"/>
  <c r="D29" i="170"/>
  <c r="B30" i="170"/>
  <c r="C30" i="170"/>
  <c r="D30" i="170"/>
  <c r="E30" i="170"/>
  <c r="F30" i="170"/>
  <c r="G30" i="170"/>
  <c r="H30" i="170"/>
  <c r="I30" i="170"/>
  <c r="B31" i="170"/>
  <c r="C31" i="170"/>
  <c r="B32" i="170"/>
  <c r="C32" i="170"/>
  <c r="D32" i="170"/>
  <c r="E32" i="170"/>
  <c r="F32" i="170"/>
  <c r="G32" i="170"/>
  <c r="H32" i="170"/>
  <c r="I32" i="170"/>
  <c r="B33" i="170"/>
  <c r="C33" i="170"/>
  <c r="D33" i="170"/>
  <c r="B34" i="170"/>
  <c r="C34" i="170"/>
  <c r="D34" i="170"/>
  <c r="E34" i="170"/>
  <c r="F34" i="170"/>
  <c r="G34" i="170"/>
  <c r="H34" i="170"/>
  <c r="I34" i="170"/>
  <c r="B35" i="170"/>
  <c r="C35" i="170"/>
  <c r="D35" i="170"/>
  <c r="B36" i="170"/>
  <c r="C36" i="170"/>
  <c r="D36" i="170"/>
  <c r="E36" i="170"/>
  <c r="E37" i="170" s="1"/>
  <c r="F36" i="170"/>
  <c r="G36" i="170"/>
  <c r="H36" i="170"/>
  <c r="I36" i="170"/>
  <c r="B37" i="170"/>
  <c r="C37" i="170"/>
  <c r="B38" i="170"/>
  <c r="C38" i="170"/>
  <c r="D38" i="170"/>
  <c r="E38" i="170"/>
  <c r="E39" i="170" s="1"/>
  <c r="F38" i="170"/>
  <c r="G38" i="170"/>
  <c r="H38" i="170"/>
  <c r="I38" i="170"/>
  <c r="B39" i="170"/>
  <c r="C39" i="170"/>
  <c r="D39" i="170"/>
  <c r="B40" i="170"/>
  <c r="C40" i="170"/>
  <c r="D40" i="170"/>
  <c r="E40" i="170"/>
  <c r="F40" i="170"/>
  <c r="G40" i="170"/>
  <c r="H40" i="170"/>
  <c r="I40" i="170"/>
  <c r="B41" i="170"/>
  <c r="C41" i="170"/>
  <c r="D41" i="170"/>
  <c r="E41" i="170"/>
  <c r="B42" i="170"/>
  <c r="B43" i="170" s="1"/>
  <c r="C42" i="170"/>
  <c r="C43" i="170" s="1"/>
  <c r="D42" i="170"/>
  <c r="E42" i="170"/>
  <c r="E43" i="170" s="1"/>
  <c r="F42" i="170"/>
  <c r="G42" i="170"/>
  <c r="H42" i="170"/>
  <c r="I42" i="170"/>
  <c r="B44" i="170"/>
  <c r="C44" i="170"/>
  <c r="D44" i="170"/>
  <c r="E44" i="170"/>
  <c r="E45" i="170" s="1"/>
  <c r="F44" i="170"/>
  <c r="G44" i="170"/>
  <c r="H44" i="170"/>
  <c r="I44" i="170"/>
  <c r="B45" i="170"/>
  <c r="C45" i="170"/>
  <c r="B46" i="170"/>
  <c r="C46" i="170"/>
  <c r="C47" i="170" s="1"/>
  <c r="D46" i="170"/>
  <c r="E46" i="170"/>
  <c r="F46" i="170"/>
  <c r="G46" i="170"/>
  <c r="H46" i="170"/>
  <c r="I46" i="170"/>
  <c r="B47" i="170"/>
  <c r="D47" i="170"/>
  <c r="B48" i="170"/>
  <c r="C48" i="170"/>
  <c r="D48" i="170"/>
  <c r="E48" i="170"/>
  <c r="F48" i="170"/>
  <c r="G48" i="170"/>
  <c r="H48" i="170"/>
  <c r="I48" i="170"/>
  <c r="B49" i="170"/>
  <c r="C49" i="170"/>
  <c r="D49" i="170"/>
  <c r="B50" i="170"/>
  <c r="C50" i="170"/>
  <c r="D50" i="170"/>
  <c r="E50" i="170"/>
  <c r="F50" i="170"/>
  <c r="G50" i="170"/>
  <c r="H50" i="170"/>
  <c r="I50" i="170"/>
  <c r="B51" i="170"/>
  <c r="C51" i="170"/>
  <c r="D51" i="170"/>
  <c r="B52" i="170"/>
  <c r="C52" i="170"/>
  <c r="D52" i="170"/>
  <c r="E52" i="170"/>
  <c r="F52" i="170"/>
  <c r="G52" i="170"/>
  <c r="H52" i="170"/>
  <c r="I52" i="170"/>
  <c r="B53" i="170"/>
  <c r="C53" i="170"/>
  <c r="D53" i="170"/>
  <c r="B54" i="170"/>
  <c r="C54" i="170"/>
  <c r="D54" i="170"/>
  <c r="E54" i="170"/>
  <c r="F54" i="170"/>
  <c r="G54" i="170"/>
  <c r="H54" i="170"/>
  <c r="I54" i="170"/>
  <c r="B55" i="170"/>
  <c r="C55" i="170"/>
  <c r="B56" i="170"/>
  <c r="C56" i="170"/>
  <c r="D56" i="170"/>
  <c r="E56" i="170"/>
  <c r="E57" i="170" s="1"/>
  <c r="F56" i="170"/>
  <c r="G56" i="170"/>
  <c r="H56" i="170"/>
  <c r="I56" i="170"/>
  <c r="B57" i="170"/>
  <c r="C57" i="170"/>
  <c r="B58" i="170"/>
  <c r="C58" i="170"/>
  <c r="D58" i="170"/>
  <c r="E58" i="170"/>
  <c r="F58" i="170"/>
  <c r="G58" i="170"/>
  <c r="H58" i="170"/>
  <c r="I58" i="170"/>
  <c r="B59" i="170"/>
  <c r="C59" i="170"/>
  <c r="D59" i="170"/>
  <c r="B60" i="170"/>
  <c r="C60" i="170"/>
  <c r="D60" i="170"/>
  <c r="E60" i="170"/>
  <c r="F60" i="170"/>
  <c r="G60" i="170"/>
  <c r="H60" i="170"/>
  <c r="I60" i="170"/>
  <c r="B61" i="170"/>
  <c r="C61" i="170"/>
  <c r="D61" i="170"/>
  <c r="B62" i="170"/>
  <c r="C62" i="170"/>
  <c r="D62" i="170"/>
  <c r="E62" i="170"/>
  <c r="F62" i="170"/>
  <c r="G62" i="170"/>
  <c r="H62" i="170"/>
  <c r="I62" i="170"/>
  <c r="B63" i="170"/>
  <c r="C63" i="170"/>
  <c r="D63" i="170"/>
  <c r="J16" i="170"/>
  <c r="I16" i="170"/>
  <c r="H16" i="170"/>
  <c r="G16" i="170"/>
  <c r="D16" i="170"/>
  <c r="C16" i="170"/>
  <c r="B16" i="170"/>
  <c r="J14" i="170"/>
  <c r="I14" i="170"/>
  <c r="H14" i="170"/>
  <c r="G14" i="170"/>
  <c r="G27" i="170" s="1"/>
  <c r="F14" i="170"/>
  <c r="F61" i="170" s="1"/>
  <c r="J34" i="168"/>
  <c r="I34" i="168"/>
  <c r="I44" i="168" s="1"/>
  <c r="H34" i="168"/>
  <c r="G34" i="168"/>
  <c r="F34" i="168"/>
  <c r="E34" i="168"/>
  <c r="E44" i="168" s="1"/>
  <c r="D34" i="168"/>
  <c r="C34" i="168"/>
  <c r="B34" i="168"/>
  <c r="J32" i="168"/>
  <c r="I32" i="168"/>
  <c r="H32" i="168"/>
  <c r="G32" i="168"/>
  <c r="F32" i="168"/>
  <c r="E32" i="168"/>
  <c r="D32" i="168"/>
  <c r="D44" i="168" s="1"/>
  <c r="C32" i="168"/>
  <c r="B32" i="168"/>
  <c r="J30" i="168"/>
  <c r="I30" i="168"/>
  <c r="H30" i="168"/>
  <c r="G30" i="168"/>
  <c r="F30" i="168"/>
  <c r="E30" i="168"/>
  <c r="D30" i="168"/>
  <c r="C30" i="168"/>
  <c r="B30" i="168"/>
  <c r="J28" i="168"/>
  <c r="I28" i="168"/>
  <c r="H28" i="168"/>
  <c r="G28" i="168"/>
  <c r="F28" i="168"/>
  <c r="E28" i="168"/>
  <c r="D28" i="168"/>
  <c r="C28" i="168"/>
  <c r="B28" i="168"/>
  <c r="J26" i="168"/>
  <c r="I26" i="168"/>
  <c r="H26" i="168"/>
  <c r="G26" i="168"/>
  <c r="F26" i="168"/>
  <c r="E26" i="168"/>
  <c r="D26" i="168"/>
  <c r="C26" i="168"/>
  <c r="B26" i="168"/>
  <c r="J24" i="168"/>
  <c r="I24" i="168"/>
  <c r="H24" i="168"/>
  <c r="G24" i="168"/>
  <c r="F24" i="168"/>
  <c r="E24" i="168"/>
  <c r="D24" i="168"/>
  <c r="C24" i="168"/>
  <c r="B24" i="168"/>
  <c r="J22" i="168"/>
  <c r="I22" i="168"/>
  <c r="H22" i="168"/>
  <c r="G22" i="168"/>
  <c r="F22" i="168"/>
  <c r="E22" i="168"/>
  <c r="D22" i="168"/>
  <c r="C22" i="168"/>
  <c r="B22" i="168"/>
  <c r="J20" i="168"/>
  <c r="I20" i="168"/>
  <c r="H20" i="168"/>
  <c r="G20" i="168"/>
  <c r="F20" i="168"/>
  <c r="E20" i="168"/>
  <c r="D20" i="168"/>
  <c r="C20" i="168"/>
  <c r="B20" i="168"/>
  <c r="J18" i="168"/>
  <c r="I18" i="168"/>
  <c r="H18" i="168"/>
  <c r="G18" i="168"/>
  <c r="F18" i="168"/>
  <c r="E18" i="168"/>
  <c r="D18" i="168"/>
  <c r="C18" i="168"/>
  <c r="B18" i="168"/>
  <c r="J16" i="168"/>
  <c r="I16" i="168"/>
  <c r="H16" i="168"/>
  <c r="G16" i="168"/>
  <c r="F16" i="168"/>
  <c r="E16" i="168"/>
  <c r="D16" i="168"/>
  <c r="C16" i="168"/>
  <c r="B16" i="168"/>
  <c r="J14" i="168"/>
  <c r="I14" i="168"/>
  <c r="H14" i="168"/>
  <c r="G14" i="168"/>
  <c r="F14" i="168"/>
  <c r="E14" i="168"/>
  <c r="D14" i="168"/>
  <c r="C14" i="168"/>
  <c r="B14" i="168"/>
  <c r="J12" i="168"/>
  <c r="I12" i="168"/>
  <c r="H12" i="168"/>
  <c r="G12" i="168"/>
  <c r="F12" i="168"/>
  <c r="E12" i="168"/>
  <c r="D12" i="168"/>
  <c r="C12" i="168"/>
  <c r="B12" i="168"/>
  <c r="J10" i="168"/>
  <c r="I10" i="168"/>
  <c r="H10" i="168"/>
  <c r="G10" i="168"/>
  <c r="F10" i="168"/>
  <c r="E10" i="168"/>
  <c r="D10" i="168"/>
  <c r="C10" i="168"/>
  <c r="B10" i="168"/>
  <c r="J8" i="168"/>
  <c r="I8" i="168"/>
  <c r="H8" i="168"/>
  <c r="G8" i="168"/>
  <c r="F8" i="168"/>
  <c r="E8" i="168"/>
  <c r="D8" i="168"/>
  <c r="C8" i="168"/>
  <c r="B8" i="168"/>
  <c r="J6" i="168"/>
  <c r="I6" i="168"/>
  <c r="H6" i="168"/>
  <c r="G6" i="168"/>
  <c r="F6" i="168"/>
  <c r="E6" i="168"/>
  <c r="D6" i="168"/>
  <c r="C6" i="168"/>
  <c r="B6" i="168"/>
  <c r="J4" i="168"/>
  <c r="I4" i="168"/>
  <c r="H4" i="168"/>
  <c r="G4" i="168"/>
  <c r="F4" i="168"/>
  <c r="E4" i="168"/>
  <c r="D4" i="168"/>
  <c r="C4" i="168"/>
  <c r="B4" i="168"/>
  <c r="C44" i="168"/>
  <c r="H44" i="168"/>
  <c r="B30" i="161"/>
  <c r="C30" i="161"/>
  <c r="D30" i="161"/>
  <c r="E30" i="161"/>
  <c r="F30" i="161"/>
  <c r="G30" i="161"/>
  <c r="H30" i="161"/>
  <c r="I30" i="161"/>
  <c r="C32" i="161"/>
  <c r="D32" i="161"/>
  <c r="E32" i="161"/>
  <c r="F32" i="161"/>
  <c r="G32" i="161"/>
  <c r="H32" i="161"/>
  <c r="I32" i="161"/>
  <c r="J32" i="167"/>
  <c r="G32" i="167"/>
  <c r="F32" i="167"/>
  <c r="E32" i="167"/>
  <c r="D32" i="167"/>
  <c r="C32" i="167"/>
  <c r="J30" i="167"/>
  <c r="H30" i="167"/>
  <c r="G30" i="167"/>
  <c r="F30" i="167"/>
  <c r="E30" i="167"/>
  <c r="D30" i="167"/>
  <c r="C30" i="167"/>
  <c r="I28" i="167"/>
  <c r="G28" i="167"/>
  <c r="F28" i="167"/>
  <c r="E28" i="167"/>
  <c r="D28" i="167"/>
  <c r="C28" i="167"/>
  <c r="B28" i="167"/>
  <c r="J26" i="167"/>
  <c r="I26" i="167"/>
  <c r="H26" i="167"/>
  <c r="G26" i="167"/>
  <c r="F26" i="167"/>
  <c r="E26" i="167"/>
  <c r="D26" i="167"/>
  <c r="C26" i="167"/>
  <c r="B26" i="167"/>
  <c r="J24" i="167"/>
  <c r="I24" i="167"/>
  <c r="H24" i="167"/>
  <c r="G24" i="167"/>
  <c r="F24" i="167"/>
  <c r="E24" i="167"/>
  <c r="D24" i="167"/>
  <c r="C24" i="167"/>
  <c r="B24" i="167"/>
  <c r="J22" i="167"/>
  <c r="I22" i="167"/>
  <c r="H22" i="167"/>
  <c r="G22" i="167"/>
  <c r="F22" i="167"/>
  <c r="E22" i="167"/>
  <c r="D22" i="167"/>
  <c r="C22" i="167"/>
  <c r="B22" i="167"/>
  <c r="J20" i="167"/>
  <c r="I20" i="167"/>
  <c r="H20" i="167"/>
  <c r="G20" i="167"/>
  <c r="F20" i="167"/>
  <c r="E20" i="167"/>
  <c r="D20" i="167"/>
  <c r="C20" i="167"/>
  <c r="B20" i="167"/>
  <c r="J18" i="167"/>
  <c r="I18" i="167"/>
  <c r="H18" i="167"/>
  <c r="G18" i="167"/>
  <c r="F18" i="167"/>
  <c r="E18" i="167"/>
  <c r="D18" i="167"/>
  <c r="C18" i="167"/>
  <c r="B18" i="167"/>
  <c r="J16" i="167"/>
  <c r="I16" i="167"/>
  <c r="H16" i="167"/>
  <c r="G16" i="167"/>
  <c r="F16" i="167"/>
  <c r="E16" i="167"/>
  <c r="D16" i="167"/>
  <c r="C16" i="167"/>
  <c r="J14" i="167"/>
  <c r="I14" i="167"/>
  <c r="H14" i="167"/>
  <c r="G14" i="167"/>
  <c r="F14" i="167"/>
  <c r="E14" i="167"/>
  <c r="C14" i="167"/>
  <c r="B14" i="167"/>
  <c r="J12" i="167"/>
  <c r="I12" i="167"/>
  <c r="H12" i="167"/>
  <c r="G12" i="167"/>
  <c r="F12" i="167"/>
  <c r="E12" i="167"/>
  <c r="D12" i="167"/>
  <c r="J10" i="167"/>
  <c r="I10" i="167"/>
  <c r="H10" i="167"/>
  <c r="G10" i="167"/>
  <c r="F10" i="167"/>
  <c r="E10" i="167"/>
  <c r="D10" i="167"/>
  <c r="C10" i="167"/>
  <c r="J8" i="167"/>
  <c r="I8" i="167"/>
  <c r="H8" i="167"/>
  <c r="G8" i="167"/>
  <c r="F8" i="167"/>
  <c r="E8" i="167"/>
  <c r="D8" i="167"/>
  <c r="C8" i="167"/>
  <c r="J6" i="167"/>
  <c r="I6" i="167"/>
  <c r="H6" i="167"/>
  <c r="G6" i="167"/>
  <c r="G4" i="167" s="1"/>
  <c r="F6" i="167"/>
  <c r="E6" i="167"/>
  <c r="D6" i="167"/>
  <c r="C6" i="167"/>
  <c r="C4" i="167" s="1"/>
  <c r="B12" i="160"/>
  <c r="B10" i="160"/>
  <c r="B8" i="160"/>
  <c r="B6" i="160"/>
  <c r="J12" i="166"/>
  <c r="I12" i="166"/>
  <c r="H12" i="166"/>
  <c r="G12" i="166"/>
  <c r="F12" i="166"/>
  <c r="E12" i="166"/>
  <c r="D12" i="166"/>
  <c r="C12" i="166"/>
  <c r="B12" i="166"/>
  <c r="I10" i="166"/>
  <c r="H10" i="166"/>
  <c r="G10" i="166"/>
  <c r="F10" i="166"/>
  <c r="E10" i="166"/>
  <c r="D10" i="166"/>
  <c r="C10" i="166"/>
  <c r="B10" i="166"/>
  <c r="J8" i="166"/>
  <c r="I8" i="166"/>
  <c r="H8" i="166"/>
  <c r="G8" i="166"/>
  <c r="F8" i="166"/>
  <c r="E8" i="166"/>
  <c r="D8" i="166"/>
  <c r="C8" i="166"/>
  <c r="J6" i="166"/>
  <c r="I6" i="166"/>
  <c r="H6" i="166"/>
  <c r="G6" i="166"/>
  <c r="F6" i="166"/>
  <c r="E6" i="166"/>
  <c r="D6" i="166"/>
  <c r="C6" i="166"/>
  <c r="J26" i="165"/>
  <c r="I26" i="165"/>
  <c r="H26" i="165"/>
  <c r="G26" i="165"/>
  <c r="F26" i="165"/>
  <c r="E26" i="165"/>
  <c r="D26" i="165"/>
  <c r="C26" i="165"/>
  <c r="B26" i="165"/>
  <c r="J24" i="165"/>
  <c r="I24" i="165"/>
  <c r="H24" i="165"/>
  <c r="G24" i="165"/>
  <c r="F24" i="165"/>
  <c r="E24" i="165"/>
  <c r="D24" i="165"/>
  <c r="C24" i="165"/>
  <c r="J20" i="165"/>
  <c r="I20" i="165"/>
  <c r="H20" i="165"/>
  <c r="G20" i="165"/>
  <c r="F20" i="165"/>
  <c r="E20" i="165"/>
  <c r="D20" i="165"/>
  <c r="C20" i="165"/>
  <c r="B20" i="165"/>
  <c r="J18" i="165"/>
  <c r="I18" i="165"/>
  <c r="H18" i="165"/>
  <c r="G18" i="165"/>
  <c r="F18" i="165"/>
  <c r="E18" i="165"/>
  <c r="D18" i="165"/>
  <c r="C18" i="165"/>
  <c r="B18" i="165"/>
  <c r="B16" i="165"/>
  <c r="J16" i="165"/>
  <c r="I16" i="165"/>
  <c r="H16" i="165"/>
  <c r="G16" i="165"/>
  <c r="F16" i="165"/>
  <c r="E16" i="165"/>
  <c r="D16" i="165"/>
  <c r="C16" i="165"/>
  <c r="J14" i="165"/>
  <c r="I14" i="165"/>
  <c r="H14" i="165"/>
  <c r="G14" i="165"/>
  <c r="F14" i="165"/>
  <c r="E14" i="165"/>
  <c r="D14" i="165"/>
  <c r="C14" i="165"/>
  <c r="B14" i="165"/>
  <c r="J12" i="165"/>
  <c r="I12" i="165"/>
  <c r="H12" i="165"/>
  <c r="G12" i="165"/>
  <c r="F12" i="165"/>
  <c r="E12" i="165"/>
  <c r="D12" i="165"/>
  <c r="C12" i="165"/>
  <c r="B12" i="165"/>
  <c r="J10" i="165"/>
  <c r="I10" i="165"/>
  <c r="H10" i="165"/>
  <c r="G10" i="165"/>
  <c r="F10" i="165"/>
  <c r="E10" i="165"/>
  <c r="D10" i="165"/>
  <c r="C10" i="165"/>
  <c r="B10" i="165"/>
  <c r="J8" i="165"/>
  <c r="I8" i="165"/>
  <c r="H8" i="165"/>
  <c r="G8" i="165"/>
  <c r="F8" i="165"/>
  <c r="E8" i="165"/>
  <c r="D8" i="165"/>
  <c r="C8" i="165"/>
  <c r="B8" i="165"/>
  <c r="J6" i="165"/>
  <c r="I6" i="165"/>
  <c r="H6" i="165"/>
  <c r="G6" i="165"/>
  <c r="F6" i="165"/>
  <c r="E6" i="165"/>
  <c r="D6" i="165"/>
  <c r="C6" i="165"/>
  <c r="B6" i="165"/>
  <c r="G4" i="165"/>
  <c r="J4" i="165"/>
  <c r="I4" i="165"/>
  <c r="H4" i="165"/>
  <c r="F4" i="165"/>
  <c r="E4" i="165"/>
  <c r="D4" i="165"/>
  <c r="C4" i="165"/>
  <c r="B4" i="165"/>
  <c r="I62" i="164"/>
  <c r="H62" i="164"/>
  <c r="G62" i="164"/>
  <c r="F62" i="164"/>
  <c r="E62" i="164"/>
  <c r="D62" i="164"/>
  <c r="C62" i="164"/>
  <c r="B62" i="164"/>
  <c r="I60" i="164"/>
  <c r="H60" i="164"/>
  <c r="G60" i="164"/>
  <c r="F60" i="164"/>
  <c r="E60" i="164"/>
  <c r="D60" i="164"/>
  <c r="C60" i="164"/>
  <c r="B60" i="164"/>
  <c r="I58" i="164"/>
  <c r="H58" i="164"/>
  <c r="G58" i="164"/>
  <c r="F58" i="164"/>
  <c r="E58" i="164"/>
  <c r="D58" i="164"/>
  <c r="C58" i="164"/>
  <c r="B58" i="164"/>
  <c r="B56" i="164"/>
  <c r="E56" i="164"/>
  <c r="E54" i="164"/>
  <c r="E52" i="164"/>
  <c r="E50" i="164"/>
  <c r="E48" i="164"/>
  <c r="E46" i="164"/>
  <c r="E44" i="164"/>
  <c r="E42" i="164"/>
  <c r="E40" i="164"/>
  <c r="E38" i="164"/>
  <c r="E36" i="164"/>
  <c r="E34" i="164"/>
  <c r="E32" i="164"/>
  <c r="E30" i="164"/>
  <c r="E28" i="164"/>
  <c r="E26" i="164"/>
  <c r="E24" i="164"/>
  <c r="E16" i="164"/>
  <c r="E14" i="164"/>
  <c r="E43" i="164" s="1"/>
  <c r="E8" i="164"/>
  <c r="E6" i="164"/>
  <c r="E4" i="164"/>
  <c r="F4" i="164"/>
  <c r="G24" i="164"/>
  <c r="F24" i="164"/>
  <c r="H24" i="164"/>
  <c r="D24" i="164"/>
  <c r="I34" i="162"/>
  <c r="H34" i="162"/>
  <c r="G34" i="162"/>
  <c r="F34" i="162"/>
  <c r="E34" i="162"/>
  <c r="D34" i="162"/>
  <c r="C34" i="162"/>
  <c r="B34" i="162"/>
  <c r="I32" i="162"/>
  <c r="H32" i="162"/>
  <c r="G32" i="162"/>
  <c r="F32" i="162"/>
  <c r="E32" i="162"/>
  <c r="D32" i="162"/>
  <c r="C32" i="162"/>
  <c r="B32" i="162"/>
  <c r="I30" i="162"/>
  <c r="H30" i="162"/>
  <c r="G30" i="162"/>
  <c r="F30" i="162"/>
  <c r="E30" i="162"/>
  <c r="D30" i="162"/>
  <c r="C30" i="162"/>
  <c r="B30" i="162"/>
  <c r="I28" i="162"/>
  <c r="H28" i="162"/>
  <c r="H26" i="162"/>
  <c r="I26" i="162"/>
  <c r="G28" i="162"/>
  <c r="F28" i="162"/>
  <c r="E28" i="162"/>
  <c r="G26" i="162"/>
  <c r="F26" i="162"/>
  <c r="E26" i="162"/>
  <c r="I24" i="162"/>
  <c r="H24" i="162"/>
  <c r="G24" i="162"/>
  <c r="F24" i="162"/>
  <c r="E24" i="162"/>
  <c r="I22" i="162"/>
  <c r="H22" i="162"/>
  <c r="G22" i="162"/>
  <c r="F22" i="162"/>
  <c r="E22" i="162"/>
  <c r="I20" i="162"/>
  <c r="H20" i="162"/>
  <c r="G20" i="162"/>
  <c r="F20" i="162"/>
  <c r="E20" i="162"/>
  <c r="I18" i="162"/>
  <c r="H18" i="162"/>
  <c r="G18" i="162"/>
  <c r="F18" i="162"/>
  <c r="E18" i="162"/>
  <c r="I16" i="162"/>
  <c r="H16" i="162"/>
  <c r="G16" i="162"/>
  <c r="F16" i="162"/>
  <c r="E16" i="162"/>
  <c r="D16" i="162"/>
  <c r="C16" i="162"/>
  <c r="B16" i="162"/>
  <c r="I14" i="162"/>
  <c r="H14" i="162"/>
  <c r="G14" i="162"/>
  <c r="F14" i="162"/>
  <c r="E14" i="162"/>
  <c r="I12" i="162"/>
  <c r="H12" i="162"/>
  <c r="G12" i="162"/>
  <c r="F12" i="162"/>
  <c r="E12" i="162"/>
  <c r="I10" i="162"/>
  <c r="H10" i="162"/>
  <c r="G10" i="162"/>
  <c r="F10" i="162"/>
  <c r="E10" i="162"/>
  <c r="I8" i="162"/>
  <c r="H8" i="162"/>
  <c r="G8" i="162"/>
  <c r="F8" i="162"/>
  <c r="E8" i="162"/>
  <c r="B8" i="162"/>
  <c r="I6" i="162"/>
  <c r="H6" i="162"/>
  <c r="G6" i="162"/>
  <c r="F6" i="162"/>
  <c r="E6" i="162"/>
  <c r="I4" i="162"/>
  <c r="H4" i="162"/>
  <c r="G4" i="162"/>
  <c r="F4" i="162"/>
  <c r="E4" i="162"/>
  <c r="D4" i="162"/>
  <c r="C4" i="162"/>
  <c r="B12" i="162"/>
  <c r="B10" i="162"/>
  <c r="B6" i="162"/>
  <c r="B4" i="162"/>
  <c r="B38" i="162" s="1"/>
  <c r="I28" i="161"/>
  <c r="H28" i="161"/>
  <c r="G28" i="161"/>
  <c r="F28" i="161"/>
  <c r="E28" i="161"/>
  <c r="D28" i="161"/>
  <c r="C28" i="161"/>
  <c r="B28" i="161"/>
  <c r="B26" i="161"/>
  <c r="I26" i="161"/>
  <c r="H26" i="161"/>
  <c r="G26" i="161"/>
  <c r="F26" i="161"/>
  <c r="E26" i="161"/>
  <c r="D26" i="161"/>
  <c r="C26" i="161"/>
  <c r="I24" i="161"/>
  <c r="H24" i="161"/>
  <c r="G24" i="161"/>
  <c r="F24" i="161"/>
  <c r="E24" i="161"/>
  <c r="D24" i="161"/>
  <c r="C24" i="161"/>
  <c r="B24" i="161"/>
  <c r="I22" i="161"/>
  <c r="H22" i="161"/>
  <c r="G22" i="161"/>
  <c r="F22" i="161"/>
  <c r="E22" i="161"/>
  <c r="D22" i="161"/>
  <c r="C22" i="161"/>
  <c r="B22" i="161"/>
  <c r="B20" i="161"/>
  <c r="I20" i="161"/>
  <c r="H20" i="161"/>
  <c r="G20" i="161"/>
  <c r="F20" i="161"/>
  <c r="E20" i="161"/>
  <c r="D20" i="161"/>
  <c r="C20" i="161"/>
  <c r="B18" i="161"/>
  <c r="I18" i="161"/>
  <c r="H18" i="161"/>
  <c r="G18" i="161"/>
  <c r="F18" i="161"/>
  <c r="E18" i="161"/>
  <c r="D18" i="161"/>
  <c r="C18" i="161"/>
  <c r="I16" i="161"/>
  <c r="H16" i="161"/>
  <c r="G16" i="161"/>
  <c r="F16" i="161"/>
  <c r="E16" i="161"/>
  <c r="D16" i="161"/>
  <c r="C16" i="161"/>
  <c r="B16" i="161"/>
  <c r="I14" i="161"/>
  <c r="H14" i="161"/>
  <c r="G14" i="161"/>
  <c r="F14" i="161"/>
  <c r="E14" i="161"/>
  <c r="D14" i="161"/>
  <c r="C14" i="161"/>
  <c r="B14" i="161"/>
  <c r="I12" i="161"/>
  <c r="H12" i="161"/>
  <c r="G12" i="161"/>
  <c r="F12" i="161"/>
  <c r="E12" i="161"/>
  <c r="D12" i="161"/>
  <c r="C12" i="161"/>
  <c r="B12" i="161"/>
  <c r="I10" i="161"/>
  <c r="H10" i="161"/>
  <c r="G10" i="161"/>
  <c r="F10" i="161"/>
  <c r="E10" i="161"/>
  <c r="D10" i="161"/>
  <c r="C10" i="161"/>
  <c r="B10" i="161"/>
  <c r="G8" i="161"/>
  <c r="I8" i="161"/>
  <c r="H8" i="161"/>
  <c r="F8" i="161"/>
  <c r="E8" i="161"/>
  <c r="D8" i="161"/>
  <c r="C8" i="161"/>
  <c r="B8" i="161"/>
  <c r="C6" i="161"/>
  <c r="B6" i="161"/>
  <c r="I6" i="161"/>
  <c r="H6" i="161"/>
  <c r="G6" i="161"/>
  <c r="F6" i="161"/>
  <c r="E6" i="161"/>
  <c r="D6" i="161"/>
  <c r="I12" i="160"/>
  <c r="H12" i="160"/>
  <c r="G12" i="160"/>
  <c r="F12" i="160"/>
  <c r="E12" i="160"/>
  <c r="D12" i="160"/>
  <c r="I10" i="160"/>
  <c r="H10" i="160"/>
  <c r="G10" i="160"/>
  <c r="F10" i="160"/>
  <c r="E10" i="160"/>
  <c r="D10" i="160"/>
  <c r="C10" i="160"/>
  <c r="I8" i="160"/>
  <c r="H8" i="160"/>
  <c r="G8" i="160"/>
  <c r="F8" i="160"/>
  <c r="E8" i="160"/>
  <c r="D8" i="160"/>
  <c r="C8" i="160"/>
  <c r="I6" i="160"/>
  <c r="H6" i="160"/>
  <c r="G6" i="160"/>
  <c r="F6" i="160"/>
  <c r="E6" i="160"/>
  <c r="D6" i="160"/>
  <c r="C6" i="160"/>
  <c r="H4" i="160"/>
  <c r="G4" i="160"/>
  <c r="F4" i="160"/>
  <c r="E4" i="160"/>
  <c r="D36" i="168" l="1"/>
  <c r="E42" i="168"/>
  <c r="C40" i="168"/>
  <c r="D36" i="171"/>
  <c r="H36" i="171"/>
  <c r="J28" i="171"/>
  <c r="B36" i="171"/>
  <c r="F36" i="171"/>
  <c r="J36" i="171"/>
  <c r="E36" i="171"/>
  <c r="I36" i="171"/>
  <c r="B7" i="171"/>
  <c r="E31" i="170"/>
  <c r="E29" i="170"/>
  <c r="E63" i="170"/>
  <c r="E61" i="170"/>
  <c r="E59" i="170"/>
  <c r="E55" i="170"/>
  <c r="E53" i="170"/>
  <c r="E51" i="170"/>
  <c r="E49" i="170"/>
  <c r="E47" i="170"/>
  <c r="E35" i="170"/>
  <c r="E33" i="170"/>
  <c r="E27" i="170"/>
  <c r="E38" i="168"/>
  <c r="I38" i="168"/>
  <c r="H36" i="168"/>
  <c r="H45" i="168" s="1"/>
  <c r="G40" i="168"/>
  <c r="G44" i="168"/>
  <c r="K24" i="165"/>
  <c r="E31" i="164"/>
  <c r="D28" i="171"/>
  <c r="H28" i="171"/>
  <c r="AV30" i="171"/>
  <c r="AV34" i="171"/>
  <c r="C34" i="171"/>
  <c r="G34" i="171"/>
  <c r="AV38" i="171"/>
  <c r="B38" i="171"/>
  <c r="F38" i="171"/>
  <c r="J38" i="171"/>
  <c r="AV46" i="171"/>
  <c r="C11" i="171"/>
  <c r="D25" i="170"/>
  <c r="I42" i="168"/>
  <c r="I4" i="167"/>
  <c r="E4" i="167"/>
  <c r="H4" i="167"/>
  <c r="K8" i="166"/>
  <c r="D22" i="165"/>
  <c r="D27" i="165" s="1"/>
  <c r="B4" i="161"/>
  <c r="Q89" i="172"/>
  <c r="Q79" i="172"/>
  <c r="Q80" i="172"/>
  <c r="Q90" i="172"/>
  <c r="Q88" i="172"/>
  <c r="Q84" i="172"/>
  <c r="Q87" i="172"/>
  <c r="AV31" i="171"/>
  <c r="AV35" i="171"/>
  <c r="D34" i="171"/>
  <c r="H34" i="171"/>
  <c r="AV39" i="171"/>
  <c r="AV43" i="171"/>
  <c r="AV28" i="171"/>
  <c r="C28" i="171"/>
  <c r="G28" i="171"/>
  <c r="B28" i="171"/>
  <c r="F28" i="171"/>
  <c r="E28" i="171"/>
  <c r="I28" i="171"/>
  <c r="AV32" i="171"/>
  <c r="AV33" i="171"/>
  <c r="AV36" i="171"/>
  <c r="B34" i="171"/>
  <c r="F34" i="171"/>
  <c r="J34" i="171"/>
  <c r="E34" i="171"/>
  <c r="I34" i="171"/>
  <c r="C36" i="171"/>
  <c r="G36" i="171"/>
  <c r="AV41" i="171"/>
  <c r="E38" i="171"/>
  <c r="I38" i="171"/>
  <c r="D38" i="171"/>
  <c r="H38" i="171"/>
  <c r="AV44" i="171"/>
  <c r="G38" i="171"/>
  <c r="B11" i="171"/>
  <c r="H25" i="170"/>
  <c r="D31" i="170"/>
  <c r="K24" i="170"/>
  <c r="G63" i="170"/>
  <c r="F57" i="170"/>
  <c r="G47" i="170"/>
  <c r="F43" i="170"/>
  <c r="G31" i="170"/>
  <c r="H29" i="170"/>
  <c r="G59" i="170"/>
  <c r="H49" i="170"/>
  <c r="H45" i="170"/>
  <c r="H33" i="170"/>
  <c r="G29" i="170"/>
  <c r="F27" i="170"/>
  <c r="F55" i="170"/>
  <c r="G49" i="170"/>
  <c r="H47" i="170"/>
  <c r="G45" i="170"/>
  <c r="H41" i="170"/>
  <c r="H39" i="170"/>
  <c r="G37" i="170"/>
  <c r="G33" i="170"/>
  <c r="G25" i="170"/>
  <c r="H63" i="170"/>
  <c r="H51" i="170"/>
  <c r="G39" i="170"/>
  <c r="C36" i="168"/>
  <c r="D38" i="168"/>
  <c r="D39" i="168" s="1"/>
  <c r="H38" i="168"/>
  <c r="C38" i="168"/>
  <c r="G38" i="168"/>
  <c r="F36" i="168"/>
  <c r="F41" i="168" s="1"/>
  <c r="E36" i="168"/>
  <c r="E43" i="168" s="1"/>
  <c r="I36" i="168"/>
  <c r="D40" i="168"/>
  <c r="H40" i="168"/>
  <c r="B40" i="168"/>
  <c r="F40" i="168"/>
  <c r="E40" i="168"/>
  <c r="I40" i="168"/>
  <c r="I41" i="168" s="1"/>
  <c r="C42" i="168"/>
  <c r="C43" i="168" s="1"/>
  <c r="G42" i="168"/>
  <c r="B42" i="168"/>
  <c r="F42" i="168"/>
  <c r="F43" i="168" s="1"/>
  <c r="D42" i="168"/>
  <c r="D43" i="168" s="1"/>
  <c r="H42" i="168"/>
  <c r="B44" i="168"/>
  <c r="F44" i="168"/>
  <c r="F45" i="168" s="1"/>
  <c r="D4" i="167"/>
  <c r="K10" i="167"/>
  <c r="F4" i="167"/>
  <c r="E22" i="165"/>
  <c r="E15" i="165" s="1"/>
  <c r="J22" i="165"/>
  <c r="I22" i="165"/>
  <c r="I27" i="165" s="1"/>
  <c r="B22" i="165"/>
  <c r="B25" i="165" s="1"/>
  <c r="F22" i="165"/>
  <c r="F19" i="165" s="1"/>
  <c r="H22" i="165"/>
  <c r="H19" i="165" s="1"/>
  <c r="C22" i="165"/>
  <c r="C19" i="165" s="1"/>
  <c r="G22" i="165"/>
  <c r="G5" i="165" s="1"/>
  <c r="K18" i="165"/>
  <c r="E61" i="164"/>
  <c r="E39" i="164"/>
  <c r="E29" i="164"/>
  <c r="G14" i="160"/>
  <c r="H14" i="160"/>
  <c r="P83" i="172"/>
  <c r="Q86" i="172"/>
  <c r="I74" i="172"/>
  <c r="Q75" i="172"/>
  <c r="P74" i="172"/>
  <c r="I83" i="172"/>
  <c r="Q81" i="172"/>
  <c r="Q72" i="172"/>
  <c r="Q68" i="172"/>
  <c r="Q66" i="172"/>
  <c r="Q64" i="172"/>
  <c r="Q62" i="172"/>
  <c r="Q55" i="172"/>
  <c r="Q53" i="172"/>
  <c r="P48" i="172"/>
  <c r="Q48" i="172" s="1"/>
  <c r="Q78" i="172"/>
  <c r="Q57" i="172"/>
  <c r="Q77" i="172"/>
  <c r="Q71" i="172"/>
  <c r="Q58" i="172"/>
  <c r="Q49" i="172"/>
  <c r="I48" i="172"/>
  <c r="Q70" i="172"/>
  <c r="P91" i="172"/>
  <c r="Q85" i="172"/>
  <c r="Q54" i="172"/>
  <c r="Q52" i="172"/>
  <c r="Q60" i="172"/>
  <c r="AV45" i="171"/>
  <c r="AV37" i="171"/>
  <c r="AV29" i="171"/>
  <c r="C38" i="171"/>
  <c r="AV40" i="171"/>
  <c r="B42" i="171"/>
  <c r="AV42" i="171"/>
  <c r="I31" i="170"/>
  <c r="F25" i="170"/>
  <c r="B25" i="170"/>
  <c r="I61" i="170"/>
  <c r="F59" i="170"/>
  <c r="I55" i="170"/>
  <c r="I53" i="170"/>
  <c r="F45" i="170"/>
  <c r="I41" i="170"/>
  <c r="F37" i="170"/>
  <c r="F31" i="170"/>
  <c r="I27" i="170"/>
  <c r="I49" i="170"/>
  <c r="I35" i="170"/>
  <c r="F63" i="170"/>
  <c r="H61" i="170"/>
  <c r="I59" i="170"/>
  <c r="I57" i="170"/>
  <c r="D57" i="170"/>
  <c r="H55" i="170"/>
  <c r="D55" i="170"/>
  <c r="H53" i="170"/>
  <c r="G53" i="170"/>
  <c r="G51" i="170"/>
  <c r="F49" i="170"/>
  <c r="F47" i="170"/>
  <c r="I43" i="170"/>
  <c r="D43" i="170"/>
  <c r="G41" i="170"/>
  <c r="F39" i="170"/>
  <c r="I37" i="170"/>
  <c r="H35" i="170"/>
  <c r="G35" i="170"/>
  <c r="F33" i="170"/>
  <c r="F29" i="170"/>
  <c r="H27" i="170"/>
  <c r="I25" i="170"/>
  <c r="D27" i="170"/>
  <c r="I51" i="170"/>
  <c r="I33" i="170"/>
  <c r="I63" i="170"/>
  <c r="G61" i="170"/>
  <c r="H59" i="170"/>
  <c r="H57" i="170"/>
  <c r="G57" i="170"/>
  <c r="G55" i="170"/>
  <c r="F53" i="170"/>
  <c r="F51" i="170"/>
  <c r="I47" i="170"/>
  <c r="I45" i="170"/>
  <c r="D45" i="170"/>
  <c r="H43" i="170"/>
  <c r="G43" i="170"/>
  <c r="F41" i="170"/>
  <c r="I39" i="170"/>
  <c r="H37" i="170"/>
  <c r="D37" i="170"/>
  <c r="F35" i="170"/>
  <c r="H31" i="170"/>
  <c r="I29" i="170"/>
  <c r="I45" i="168"/>
  <c r="F38" i="168"/>
  <c r="B36" i="168"/>
  <c r="B43" i="168" s="1"/>
  <c r="I43" i="168"/>
  <c r="G36" i="168"/>
  <c r="G39" i="168" s="1"/>
  <c r="J59" i="170"/>
  <c r="J61" i="170"/>
  <c r="K60" i="170"/>
  <c r="K58" i="170"/>
  <c r="D45" i="168"/>
  <c r="D41" i="168"/>
  <c r="B38" i="168"/>
  <c r="C39" i="168"/>
  <c r="C45" i="168"/>
  <c r="B4" i="167"/>
  <c r="F14" i="160"/>
  <c r="I14" i="160"/>
  <c r="E14" i="160"/>
  <c r="F27" i="165"/>
  <c r="C21" i="165"/>
  <c r="I15" i="165"/>
  <c r="D17" i="165"/>
  <c r="I9" i="165"/>
  <c r="D7" i="165"/>
  <c r="C15" i="165"/>
  <c r="C7" i="165"/>
  <c r="F11" i="165"/>
  <c r="E59" i="164"/>
  <c r="J60" i="164"/>
  <c r="J58" i="164"/>
  <c r="D4" i="160"/>
  <c r="D14" i="160" s="1"/>
  <c r="C14" i="160"/>
  <c r="Q74" i="172" l="1"/>
  <c r="I39" i="168"/>
  <c r="F39" i="168"/>
  <c r="H39" i="168"/>
  <c r="C41" i="168"/>
  <c r="H41" i="168"/>
  <c r="H43" i="168"/>
  <c r="E5" i="165"/>
  <c r="F13" i="165"/>
  <c r="D21" i="165"/>
  <c r="D19" i="165"/>
  <c r="E19" i="165"/>
  <c r="D9" i="165"/>
  <c r="D13" i="165"/>
  <c r="E27" i="165"/>
  <c r="E45" i="168"/>
  <c r="G41" i="168"/>
  <c r="G43" i="168"/>
  <c r="C17" i="165"/>
  <c r="C11" i="165"/>
  <c r="I13" i="165"/>
  <c r="I25" i="165"/>
  <c r="C25" i="165"/>
  <c r="I19" i="165"/>
  <c r="I5" i="165"/>
  <c r="C9" i="165"/>
  <c r="I11" i="165"/>
  <c r="I17" i="165"/>
  <c r="C27" i="165"/>
  <c r="C5" i="165"/>
  <c r="C23" i="165" s="1"/>
  <c r="C13" i="165"/>
  <c r="I7" i="165"/>
  <c r="B45" i="168"/>
  <c r="B41" i="168"/>
  <c r="F7" i="165"/>
  <c r="E25" i="165"/>
  <c r="E13" i="165"/>
  <c r="E21" i="165"/>
  <c r="E7" i="165"/>
  <c r="E9" i="165"/>
  <c r="H17" i="165"/>
  <c r="H5" i="165"/>
  <c r="H27" i="165"/>
  <c r="H13" i="165"/>
  <c r="F17" i="165"/>
  <c r="H9" i="165"/>
  <c r="H15" i="165"/>
  <c r="H21" i="165"/>
  <c r="F15" i="165"/>
  <c r="E17" i="165"/>
  <c r="F21" i="165"/>
  <c r="F9" i="165"/>
  <c r="H7" i="165"/>
  <c r="E11" i="165"/>
  <c r="F5" i="165"/>
  <c r="H11" i="165"/>
  <c r="H25" i="165"/>
  <c r="F25" i="165"/>
  <c r="Q83" i="172"/>
  <c r="E41" i="168"/>
  <c r="E39" i="168"/>
  <c r="B39" i="168"/>
  <c r="G27" i="165"/>
  <c r="G19" i="165"/>
  <c r="G25" i="165"/>
  <c r="G7" i="165"/>
  <c r="G15" i="165"/>
  <c r="G21" i="165"/>
  <c r="K22" i="165"/>
  <c r="B27" i="165"/>
  <c r="G11" i="165"/>
  <c r="B11" i="165"/>
  <c r="G9" i="165"/>
  <c r="G13" i="165"/>
  <c r="G17" i="165"/>
  <c r="G45" i="168"/>
  <c r="J4" i="160"/>
  <c r="B14" i="160"/>
  <c r="J14" i="160" s="1"/>
  <c r="B7" i="165"/>
  <c r="D11" i="165"/>
  <c r="D15" i="165"/>
  <c r="D25" i="165"/>
  <c r="I21" i="165"/>
  <c r="I23" i="165" s="1"/>
  <c r="B19" i="165"/>
  <c r="B15" i="165"/>
  <c r="D5" i="165"/>
  <c r="B9" i="165"/>
  <c r="B13" i="165"/>
  <c r="B17" i="165"/>
  <c r="B21" i="165"/>
  <c r="B5" i="165"/>
  <c r="E23" i="165" l="1"/>
  <c r="G23" i="165"/>
  <c r="H23" i="165"/>
  <c r="F23" i="165"/>
  <c r="D23" i="165"/>
  <c r="B5" i="160"/>
  <c r="B23" i="165"/>
  <c r="J6" i="160"/>
  <c r="J8" i="160"/>
  <c r="J10" i="160"/>
  <c r="J12" i="160"/>
  <c r="I26" i="159"/>
  <c r="H26" i="159"/>
  <c r="G26" i="159"/>
  <c r="F26" i="159"/>
  <c r="E26" i="159"/>
  <c r="D26" i="159"/>
  <c r="C26" i="159"/>
  <c r="B26" i="159"/>
  <c r="I24" i="159"/>
  <c r="H24" i="159"/>
  <c r="G24" i="159"/>
  <c r="F24" i="159"/>
  <c r="E24" i="159"/>
  <c r="D24" i="159"/>
  <c r="C24" i="159"/>
  <c r="B24" i="159"/>
  <c r="I20" i="159"/>
  <c r="H20" i="159"/>
  <c r="G20" i="159"/>
  <c r="F20" i="159"/>
  <c r="E20" i="159"/>
  <c r="D20" i="159"/>
  <c r="C20" i="159"/>
  <c r="B20" i="159"/>
  <c r="I18" i="159"/>
  <c r="H18" i="159"/>
  <c r="G18" i="159"/>
  <c r="F18" i="159"/>
  <c r="E18" i="159"/>
  <c r="D18" i="159"/>
  <c r="C18" i="159"/>
  <c r="B18" i="159"/>
  <c r="I16" i="159"/>
  <c r="H16" i="159"/>
  <c r="G16" i="159"/>
  <c r="F16" i="159"/>
  <c r="E16" i="159"/>
  <c r="D16" i="159"/>
  <c r="C16" i="159"/>
  <c r="B16" i="159"/>
  <c r="I14" i="159"/>
  <c r="H14" i="159"/>
  <c r="G14" i="159"/>
  <c r="F14" i="159"/>
  <c r="E14" i="159"/>
  <c r="D14" i="159"/>
  <c r="C14" i="159"/>
  <c r="B14" i="159"/>
  <c r="I12" i="159"/>
  <c r="H12" i="159"/>
  <c r="G12" i="159"/>
  <c r="F12" i="159"/>
  <c r="E12" i="159"/>
  <c r="D12" i="159"/>
  <c r="C12" i="159"/>
  <c r="B12" i="159"/>
  <c r="I10" i="159"/>
  <c r="H10" i="159"/>
  <c r="G10" i="159"/>
  <c r="F10" i="159"/>
  <c r="E10" i="159"/>
  <c r="D10" i="159"/>
  <c r="C10" i="159"/>
  <c r="B10" i="159"/>
  <c r="I8" i="159"/>
  <c r="H8" i="159"/>
  <c r="G8" i="159"/>
  <c r="F8" i="159"/>
  <c r="E8" i="159"/>
  <c r="D8" i="159"/>
  <c r="C8" i="159"/>
  <c r="B8" i="159"/>
  <c r="I6" i="159"/>
  <c r="H6" i="159"/>
  <c r="G6" i="159"/>
  <c r="F6" i="159"/>
  <c r="E6" i="159"/>
  <c r="D6" i="159"/>
  <c r="C6" i="159"/>
  <c r="B6" i="159"/>
  <c r="I4" i="159"/>
  <c r="H4" i="159"/>
  <c r="G4" i="159"/>
  <c r="F4" i="159"/>
  <c r="E4" i="159"/>
  <c r="D4" i="159"/>
  <c r="C4" i="159"/>
  <c r="B4" i="159"/>
  <c r="J12" i="159" l="1"/>
  <c r="J4" i="159"/>
  <c r="J6" i="159"/>
  <c r="J8" i="159"/>
  <c r="J10" i="159"/>
  <c r="J14" i="159"/>
  <c r="J16" i="159"/>
  <c r="J18" i="159"/>
  <c r="J20" i="159"/>
  <c r="C20" i="123"/>
  <c r="I45" i="172" l="1"/>
  <c r="I44" i="172"/>
  <c r="I43" i="172"/>
  <c r="Q43" i="172" s="1"/>
  <c r="I42" i="172"/>
  <c r="Q42" i="172" s="1"/>
  <c r="I41" i="172"/>
  <c r="I40" i="172"/>
  <c r="Q40" i="172" s="1"/>
  <c r="I39" i="172"/>
  <c r="Q39" i="172" s="1"/>
  <c r="I38" i="172"/>
  <c r="I37" i="172"/>
  <c r="I36" i="172"/>
  <c r="I35" i="172"/>
  <c r="Q35" i="172" s="1"/>
  <c r="I34" i="172"/>
  <c r="Q34" i="172" s="1"/>
  <c r="I33" i="172"/>
  <c r="I32" i="172"/>
  <c r="Q32" i="172" s="1"/>
  <c r="I31" i="172"/>
  <c r="I30" i="172"/>
  <c r="Q30" i="172" s="1"/>
  <c r="I29" i="172"/>
  <c r="Q29" i="172" s="1"/>
  <c r="I28" i="172"/>
  <c r="I27" i="172"/>
  <c r="Q27" i="172" s="1"/>
  <c r="I26" i="172"/>
  <c r="Q26" i="172" s="1"/>
  <c r="I25" i="172"/>
  <c r="I24" i="172"/>
  <c r="Q24" i="172" s="1"/>
  <c r="I23" i="172"/>
  <c r="Q23" i="172" s="1"/>
  <c r="I22" i="172"/>
  <c r="I21" i="172"/>
  <c r="Q21" i="172" s="1"/>
  <c r="I20" i="172"/>
  <c r="I19" i="172"/>
  <c r="Q19" i="172" s="1"/>
  <c r="I18" i="172"/>
  <c r="Q18" i="172" s="1"/>
  <c r="I17" i="172"/>
  <c r="I16" i="172"/>
  <c r="Q16" i="172" s="1"/>
  <c r="I15" i="172"/>
  <c r="Q15" i="172" s="1"/>
  <c r="I14" i="172"/>
  <c r="Q14" i="172" s="1"/>
  <c r="I13" i="172"/>
  <c r="Q13" i="172" s="1"/>
  <c r="I12" i="172"/>
  <c r="I11" i="172"/>
  <c r="Q11" i="172" s="1"/>
  <c r="I10" i="172"/>
  <c r="Q10" i="172" s="1"/>
  <c r="I9" i="172"/>
  <c r="I8" i="172"/>
  <c r="Q8" i="172" s="1"/>
  <c r="I7" i="172"/>
  <c r="Q7" i="172" s="1"/>
  <c r="I6" i="172"/>
  <c r="I5" i="172"/>
  <c r="J19" i="171"/>
  <c r="I19" i="171"/>
  <c r="H19" i="171"/>
  <c r="G19" i="171"/>
  <c r="D19" i="171"/>
  <c r="C19" i="171"/>
  <c r="B19" i="171"/>
  <c r="J17" i="171"/>
  <c r="I17" i="171"/>
  <c r="H17" i="171"/>
  <c r="E17" i="171"/>
  <c r="D17" i="171"/>
  <c r="C17" i="171"/>
  <c r="B17" i="171"/>
  <c r="F15" i="171"/>
  <c r="F19" i="171"/>
  <c r="E19" i="171"/>
  <c r="H15" i="171"/>
  <c r="J13" i="171"/>
  <c r="B13" i="171"/>
  <c r="G17" i="171"/>
  <c r="F17" i="171"/>
  <c r="H5" i="171"/>
  <c r="E18" i="170"/>
  <c r="H18" i="170"/>
  <c r="D18" i="170"/>
  <c r="G10" i="170"/>
  <c r="G9" i="170" s="1"/>
  <c r="J44" i="168"/>
  <c r="G14" i="166"/>
  <c r="I56" i="164"/>
  <c r="H56" i="164"/>
  <c r="G56" i="164"/>
  <c r="F56" i="164"/>
  <c r="D56" i="164"/>
  <c r="C56" i="164"/>
  <c r="I54" i="164"/>
  <c r="H54" i="164"/>
  <c r="G54" i="164"/>
  <c r="F54" i="164"/>
  <c r="D54" i="164"/>
  <c r="C54" i="164"/>
  <c r="B54" i="164"/>
  <c r="I52" i="164"/>
  <c r="H52" i="164"/>
  <c r="G52" i="164"/>
  <c r="F52" i="164"/>
  <c r="D52" i="164"/>
  <c r="C52" i="164"/>
  <c r="B52" i="164"/>
  <c r="I50" i="164"/>
  <c r="H50" i="164"/>
  <c r="G50" i="164"/>
  <c r="F50" i="164"/>
  <c r="D50" i="164"/>
  <c r="C50" i="164"/>
  <c r="B50" i="164"/>
  <c r="I48" i="164"/>
  <c r="H48" i="164"/>
  <c r="G48" i="164"/>
  <c r="F48" i="164"/>
  <c r="D48" i="164"/>
  <c r="C48" i="164"/>
  <c r="B48" i="164"/>
  <c r="I46" i="164"/>
  <c r="H46" i="164"/>
  <c r="G46" i="164"/>
  <c r="F46" i="164"/>
  <c r="D46" i="164"/>
  <c r="C46" i="164"/>
  <c r="B46" i="164"/>
  <c r="I44" i="164"/>
  <c r="H44" i="164"/>
  <c r="G44" i="164"/>
  <c r="F44" i="164"/>
  <c r="D44" i="164"/>
  <c r="C44" i="164"/>
  <c r="B44" i="164"/>
  <c r="I42" i="164"/>
  <c r="H42" i="164"/>
  <c r="G42" i="164"/>
  <c r="F42" i="164"/>
  <c r="D42" i="164"/>
  <c r="C42" i="164"/>
  <c r="B42" i="164"/>
  <c r="I40" i="164"/>
  <c r="H40" i="164"/>
  <c r="G40" i="164"/>
  <c r="F40" i="164"/>
  <c r="D40" i="164"/>
  <c r="C40" i="164"/>
  <c r="B40" i="164"/>
  <c r="I38" i="164"/>
  <c r="H38" i="164"/>
  <c r="G38" i="164"/>
  <c r="F38" i="164"/>
  <c r="D38" i="164"/>
  <c r="C38" i="164"/>
  <c r="B38" i="164"/>
  <c r="I36" i="164"/>
  <c r="H36" i="164"/>
  <c r="G36" i="164"/>
  <c r="F36" i="164"/>
  <c r="D36" i="164"/>
  <c r="C36" i="164"/>
  <c r="B36" i="164"/>
  <c r="I34" i="164"/>
  <c r="H34" i="164"/>
  <c r="G34" i="164"/>
  <c r="F34" i="164"/>
  <c r="D34" i="164"/>
  <c r="C34" i="164"/>
  <c r="B34" i="164"/>
  <c r="I32" i="164"/>
  <c r="H32" i="164"/>
  <c r="G32" i="164"/>
  <c r="F32" i="164"/>
  <c r="D32" i="164"/>
  <c r="C32" i="164"/>
  <c r="B32" i="164"/>
  <c r="I30" i="164"/>
  <c r="H30" i="164"/>
  <c r="G30" i="164"/>
  <c r="F30" i="164"/>
  <c r="D30" i="164"/>
  <c r="C30" i="164"/>
  <c r="B30" i="164"/>
  <c r="I28" i="164"/>
  <c r="H28" i="164"/>
  <c r="G28" i="164"/>
  <c r="F28" i="164"/>
  <c r="D28" i="164"/>
  <c r="C28" i="164"/>
  <c r="B28" i="164"/>
  <c r="I26" i="164"/>
  <c r="H26" i="164"/>
  <c r="G26" i="164"/>
  <c r="F26" i="164"/>
  <c r="D26" i="164"/>
  <c r="C26" i="164"/>
  <c r="B26" i="164"/>
  <c r="C24" i="164"/>
  <c r="I16" i="164"/>
  <c r="H16" i="164"/>
  <c r="G16" i="164"/>
  <c r="F16" i="164"/>
  <c r="D16" i="164"/>
  <c r="C16" i="164"/>
  <c r="B16" i="164"/>
  <c r="I14" i="164"/>
  <c r="H14" i="164"/>
  <c r="G14" i="164"/>
  <c r="F14" i="164"/>
  <c r="D14" i="164"/>
  <c r="C14" i="164"/>
  <c r="C63" i="164" s="1"/>
  <c r="B14" i="164"/>
  <c r="B25" i="164" s="1"/>
  <c r="I8" i="164"/>
  <c r="H8" i="164"/>
  <c r="G8" i="164"/>
  <c r="F8" i="164"/>
  <c r="D8" i="164"/>
  <c r="C8" i="164"/>
  <c r="B8" i="164"/>
  <c r="I6" i="164"/>
  <c r="H6" i="164"/>
  <c r="G6" i="164"/>
  <c r="F6" i="164"/>
  <c r="D6" i="164"/>
  <c r="C6" i="164"/>
  <c r="B6" i="164"/>
  <c r="I4" i="164"/>
  <c r="H4" i="164"/>
  <c r="G4" i="164"/>
  <c r="D4" i="164"/>
  <c r="C4" i="164"/>
  <c r="B4" i="164"/>
  <c r="I44" i="162"/>
  <c r="E44" i="162"/>
  <c r="D28" i="162"/>
  <c r="C28" i="162"/>
  <c r="B28" i="162"/>
  <c r="D26" i="162"/>
  <c r="C26" i="162"/>
  <c r="B26" i="162"/>
  <c r="D24" i="162"/>
  <c r="C24" i="162"/>
  <c r="B24" i="162"/>
  <c r="G42" i="162"/>
  <c r="D22" i="162"/>
  <c r="C22" i="162"/>
  <c r="B22" i="162"/>
  <c r="D20" i="162"/>
  <c r="C20" i="162"/>
  <c r="B20" i="162"/>
  <c r="D18" i="162"/>
  <c r="C18" i="162"/>
  <c r="B18" i="162"/>
  <c r="D14" i="162"/>
  <c r="C14" i="162"/>
  <c r="B14" i="162"/>
  <c r="E40" i="162"/>
  <c r="D12" i="162"/>
  <c r="C12" i="162"/>
  <c r="G38" i="162"/>
  <c r="D10" i="162"/>
  <c r="C10" i="162"/>
  <c r="D8" i="162"/>
  <c r="C8" i="162"/>
  <c r="D6" i="162"/>
  <c r="C6" i="162"/>
  <c r="H4" i="161"/>
  <c r="G4" i="161"/>
  <c r="G34" i="161" s="1"/>
  <c r="D4" i="161"/>
  <c r="C4" i="161"/>
  <c r="C34" i="161" s="1"/>
  <c r="I7" i="160"/>
  <c r="H13" i="160"/>
  <c r="F7" i="160"/>
  <c r="F9" i="160"/>
  <c r="J26" i="159"/>
  <c r="J24" i="159"/>
  <c r="H22" i="159"/>
  <c r="C22" i="159"/>
  <c r="I22" i="159"/>
  <c r="I25" i="159" s="1"/>
  <c r="B33" i="164" l="1"/>
  <c r="B49" i="164"/>
  <c r="B31" i="164"/>
  <c r="B47" i="164"/>
  <c r="F27" i="164"/>
  <c r="F43" i="164"/>
  <c r="C38" i="162"/>
  <c r="F22" i="159"/>
  <c r="F13" i="159" s="1"/>
  <c r="I91" i="172"/>
  <c r="I27" i="159"/>
  <c r="Q31" i="172"/>
  <c r="E30" i="171"/>
  <c r="F13" i="171"/>
  <c r="B30" i="171"/>
  <c r="D30" i="171"/>
  <c r="G13" i="171"/>
  <c r="C13" i="171"/>
  <c r="J32" i="171"/>
  <c r="F9" i="171"/>
  <c r="D11" i="171"/>
  <c r="I11" i="171"/>
  <c r="J7" i="171"/>
  <c r="I9" i="171"/>
  <c r="E5" i="171"/>
  <c r="D7" i="171"/>
  <c r="B32" i="171"/>
  <c r="G7" i="171"/>
  <c r="E15" i="171"/>
  <c r="F32" i="171"/>
  <c r="C5" i="171"/>
  <c r="H7" i="171"/>
  <c r="G9" i="171"/>
  <c r="F11" i="171"/>
  <c r="F30" i="171"/>
  <c r="E32" i="171"/>
  <c r="D32" i="171"/>
  <c r="D5" i="171"/>
  <c r="I15" i="171"/>
  <c r="G30" i="171"/>
  <c r="D13" i="171"/>
  <c r="H13" i="171"/>
  <c r="J30" i="171"/>
  <c r="F5" i="171"/>
  <c r="C7" i="171"/>
  <c r="I7" i="171"/>
  <c r="E13" i="171"/>
  <c r="I13" i="171"/>
  <c r="C30" i="171"/>
  <c r="I32" i="171"/>
  <c r="E15" i="170"/>
  <c r="E17" i="170"/>
  <c r="D15" i="170"/>
  <c r="D17" i="170"/>
  <c r="H15" i="170"/>
  <c r="H17" i="170"/>
  <c r="C10" i="170"/>
  <c r="C9" i="170" s="1"/>
  <c r="I18" i="170"/>
  <c r="J5" i="171"/>
  <c r="J15" i="171"/>
  <c r="F35" i="164"/>
  <c r="F51" i="164"/>
  <c r="E7" i="171"/>
  <c r="D9" i="171"/>
  <c r="H11" i="171"/>
  <c r="G27" i="164"/>
  <c r="H32" i="171"/>
  <c r="B27" i="164"/>
  <c r="K30" i="170"/>
  <c r="G5" i="171"/>
  <c r="I5" i="171"/>
  <c r="F7" i="171"/>
  <c r="E9" i="171"/>
  <c r="D15" i="171"/>
  <c r="Q22" i="172"/>
  <c r="G11" i="171"/>
  <c r="Q6" i="172"/>
  <c r="B41" i="164"/>
  <c r="B9" i="171"/>
  <c r="J9" i="171"/>
  <c r="J11" i="171"/>
  <c r="E11" i="171"/>
  <c r="I30" i="171"/>
  <c r="C42" i="162"/>
  <c r="B15" i="171"/>
  <c r="H9" i="171"/>
  <c r="G31" i="164"/>
  <c r="B39" i="164"/>
  <c r="C9" i="171"/>
  <c r="Q38" i="172"/>
  <c r="C31" i="161"/>
  <c r="C33" i="161"/>
  <c r="G27" i="161"/>
  <c r="G31" i="161"/>
  <c r="G33" i="161"/>
  <c r="J4" i="167"/>
  <c r="K4" i="167" s="1"/>
  <c r="G5" i="166"/>
  <c r="G7" i="166"/>
  <c r="G9" i="166"/>
  <c r="G11" i="166"/>
  <c r="G13" i="166"/>
  <c r="H14" i="166"/>
  <c r="H57" i="164"/>
  <c r="H59" i="164"/>
  <c r="H61" i="164"/>
  <c r="I18" i="164"/>
  <c r="I15" i="164" s="1"/>
  <c r="I59" i="164"/>
  <c r="I61" i="164"/>
  <c r="C27" i="164"/>
  <c r="C29" i="164"/>
  <c r="C31" i="164"/>
  <c r="C33" i="164"/>
  <c r="C35" i="164"/>
  <c r="G35" i="164"/>
  <c r="C37" i="164"/>
  <c r="C39" i="164"/>
  <c r="G39" i="164"/>
  <c r="C43" i="164"/>
  <c r="G43" i="164"/>
  <c r="C45" i="164"/>
  <c r="C47" i="164"/>
  <c r="G47" i="164"/>
  <c r="C51" i="164"/>
  <c r="G51" i="164"/>
  <c r="C55" i="164"/>
  <c r="G55" i="164"/>
  <c r="C61" i="164"/>
  <c r="C59" i="164"/>
  <c r="F61" i="164"/>
  <c r="F59" i="164"/>
  <c r="C25" i="164"/>
  <c r="D61" i="164"/>
  <c r="D59" i="164"/>
  <c r="B61" i="164"/>
  <c r="B59" i="164"/>
  <c r="G59" i="164"/>
  <c r="G61" i="164"/>
  <c r="I17" i="164"/>
  <c r="H18" i="164"/>
  <c r="H17" i="164" s="1"/>
  <c r="H25" i="164"/>
  <c r="H27" i="164"/>
  <c r="H33" i="164"/>
  <c r="H35" i="164"/>
  <c r="H41" i="164"/>
  <c r="H43" i="164"/>
  <c r="H49" i="164"/>
  <c r="H51" i="164"/>
  <c r="H55" i="164"/>
  <c r="I29" i="164"/>
  <c r="I37" i="164"/>
  <c r="I45" i="164"/>
  <c r="I53" i="164"/>
  <c r="F63" i="164"/>
  <c r="I4" i="161"/>
  <c r="I34" i="161" s="1"/>
  <c r="G18" i="170"/>
  <c r="D57" i="164"/>
  <c r="D43" i="164"/>
  <c r="D35" i="164"/>
  <c r="D27" i="164"/>
  <c r="D55" i="164"/>
  <c r="C11" i="161"/>
  <c r="G32" i="171"/>
  <c r="C19" i="161"/>
  <c r="E53" i="164"/>
  <c r="E33" i="164"/>
  <c r="E49" i="164"/>
  <c r="E41" i="164"/>
  <c r="E25" i="164"/>
  <c r="C15" i="171"/>
  <c r="C27" i="161"/>
  <c r="H34" i="161"/>
  <c r="H30" i="171"/>
  <c r="F34" i="167"/>
  <c r="K40" i="171"/>
  <c r="I40" i="162"/>
  <c r="D34" i="161"/>
  <c r="K16" i="168"/>
  <c r="K17" i="171"/>
  <c r="D39" i="164"/>
  <c r="D22" i="159"/>
  <c r="D15" i="159" s="1"/>
  <c r="E36" i="162"/>
  <c r="E35" i="162" s="1"/>
  <c r="G18" i="164"/>
  <c r="G15" i="164" s="1"/>
  <c r="F25" i="164"/>
  <c r="F29" i="164"/>
  <c r="F33" i="164"/>
  <c r="F37" i="164"/>
  <c r="C41" i="164"/>
  <c r="F41" i="164"/>
  <c r="F45" i="164"/>
  <c r="C49" i="164"/>
  <c r="F49" i="164"/>
  <c r="G53" i="164"/>
  <c r="F55" i="164"/>
  <c r="I14" i="166"/>
  <c r="I34" i="167"/>
  <c r="K6" i="168"/>
  <c r="J42" i="168"/>
  <c r="E10" i="170"/>
  <c r="E7" i="170" s="1"/>
  <c r="J43" i="170"/>
  <c r="K32" i="170"/>
  <c r="K44" i="170"/>
  <c r="Q17" i="172"/>
  <c r="Q20" i="172"/>
  <c r="Q33" i="172"/>
  <c r="Q36" i="172"/>
  <c r="K42" i="170"/>
  <c r="G22" i="159"/>
  <c r="G5" i="159" s="1"/>
  <c r="D25" i="164"/>
  <c r="G29" i="164"/>
  <c r="F31" i="164"/>
  <c r="D33" i="164"/>
  <c r="B35" i="164"/>
  <c r="G37" i="164"/>
  <c r="F39" i="164"/>
  <c r="D41" i="164"/>
  <c r="B43" i="164"/>
  <c r="G45" i="164"/>
  <c r="F47" i="164"/>
  <c r="D49" i="164"/>
  <c r="B51" i="164"/>
  <c r="E57" i="164"/>
  <c r="B34" i="167"/>
  <c r="J34" i="167"/>
  <c r="J11" i="167" s="1"/>
  <c r="K8" i="168"/>
  <c r="F10" i="170"/>
  <c r="F7" i="170" s="1"/>
  <c r="J57" i="170"/>
  <c r="G15" i="171"/>
  <c r="C32" i="171"/>
  <c r="D47" i="164"/>
  <c r="K26" i="170"/>
  <c r="C14" i="166"/>
  <c r="K10" i="168"/>
  <c r="K28" i="170"/>
  <c r="K38" i="170"/>
  <c r="K42" i="171"/>
  <c r="I49" i="164"/>
  <c r="J14" i="161"/>
  <c r="B10" i="164"/>
  <c r="B7" i="164" s="1"/>
  <c r="B63" i="164"/>
  <c r="H31" i="164"/>
  <c r="H39" i="164"/>
  <c r="H47" i="164"/>
  <c r="B53" i="164"/>
  <c r="G63" i="164"/>
  <c r="D14" i="166"/>
  <c r="D34" i="167"/>
  <c r="J40" i="168"/>
  <c r="K40" i="168" s="1"/>
  <c r="K34" i="170"/>
  <c r="D31" i="164"/>
  <c r="F53" i="164"/>
  <c r="H34" i="167"/>
  <c r="K36" i="170"/>
  <c r="C7" i="161"/>
  <c r="F5" i="160"/>
  <c r="B22" i="159"/>
  <c r="B19" i="159" s="1"/>
  <c r="E22" i="159"/>
  <c r="E5" i="159" s="1"/>
  <c r="J22" i="161"/>
  <c r="I36" i="162"/>
  <c r="I35" i="162" s="1"/>
  <c r="C18" i="164"/>
  <c r="C15" i="164" s="1"/>
  <c r="G25" i="164"/>
  <c r="B29" i="164"/>
  <c r="I31" i="164"/>
  <c r="G33" i="164"/>
  <c r="B37" i="164"/>
  <c r="I39" i="164"/>
  <c r="G41" i="164"/>
  <c r="B45" i="164"/>
  <c r="G49" i="164"/>
  <c r="C53" i="164"/>
  <c r="B55" i="164"/>
  <c r="E14" i="166"/>
  <c r="E34" i="167"/>
  <c r="K14" i="168"/>
  <c r="Q9" i="172"/>
  <c r="Q12" i="172"/>
  <c r="Q25" i="172"/>
  <c r="Q28" i="172"/>
  <c r="Q41" i="172"/>
  <c r="Q44" i="172"/>
  <c r="I5" i="160"/>
  <c r="H9" i="160"/>
  <c r="H7" i="160"/>
  <c r="I9" i="160"/>
  <c r="H5" i="160"/>
  <c r="H11" i="160"/>
  <c r="F11" i="160"/>
  <c r="I13" i="160"/>
  <c r="I11" i="160"/>
  <c r="C5" i="159"/>
  <c r="C7" i="159"/>
  <c r="C9" i="159"/>
  <c r="C11" i="159"/>
  <c r="C19" i="159"/>
  <c r="C21" i="159"/>
  <c r="C25" i="159"/>
  <c r="C27" i="159"/>
  <c r="C17" i="159"/>
  <c r="C13" i="159"/>
  <c r="F5" i="159"/>
  <c r="F7" i="159"/>
  <c r="C15" i="159"/>
  <c r="H5" i="159"/>
  <c r="H13" i="159"/>
  <c r="H17" i="159"/>
  <c r="H15" i="159"/>
  <c r="H25" i="159"/>
  <c r="H21" i="159"/>
  <c r="H27" i="159"/>
  <c r="H19" i="159"/>
  <c r="C9" i="160"/>
  <c r="C11" i="160"/>
  <c r="C7" i="160"/>
  <c r="C5" i="160"/>
  <c r="I11" i="159"/>
  <c r="I7" i="159"/>
  <c r="I13" i="159"/>
  <c r="I5" i="159"/>
  <c r="I9" i="159"/>
  <c r="I15" i="159"/>
  <c r="I17" i="159"/>
  <c r="G13" i="160"/>
  <c r="G7" i="160"/>
  <c r="G11" i="160"/>
  <c r="G5" i="160"/>
  <c r="G9" i="160"/>
  <c r="H9" i="159"/>
  <c r="H7" i="159"/>
  <c r="H11" i="159"/>
  <c r="F27" i="159"/>
  <c r="F19" i="159"/>
  <c r="F25" i="159"/>
  <c r="F15" i="159"/>
  <c r="F17" i="159"/>
  <c r="I19" i="159"/>
  <c r="I21" i="159"/>
  <c r="C13" i="160"/>
  <c r="D15" i="161"/>
  <c r="F4" i="161"/>
  <c r="B40" i="162"/>
  <c r="J10" i="161"/>
  <c r="G11" i="161"/>
  <c r="C15" i="161"/>
  <c r="J18" i="161"/>
  <c r="G19" i="161"/>
  <c r="C25" i="161"/>
  <c r="G25" i="161"/>
  <c r="J28" i="161"/>
  <c r="B36" i="162"/>
  <c r="B5" i="162" s="1"/>
  <c r="F38" i="162"/>
  <c r="F36" i="162"/>
  <c r="F19" i="162" s="1"/>
  <c r="J4" i="162"/>
  <c r="J20" i="162"/>
  <c r="G7" i="161"/>
  <c r="J12" i="162"/>
  <c r="F13" i="160"/>
  <c r="E4" i="161"/>
  <c r="C5" i="161"/>
  <c r="J8" i="161"/>
  <c r="G9" i="161"/>
  <c r="C13" i="161"/>
  <c r="J16" i="161"/>
  <c r="G17" i="161"/>
  <c r="C21" i="161"/>
  <c r="G23" i="161"/>
  <c r="C29" i="161"/>
  <c r="G29" i="161"/>
  <c r="J32" i="161"/>
  <c r="D38" i="162"/>
  <c r="H38" i="162"/>
  <c r="J8" i="162"/>
  <c r="D42" i="162"/>
  <c r="J6" i="161"/>
  <c r="G15" i="161"/>
  <c r="F40" i="162"/>
  <c r="D13" i="160"/>
  <c r="E7" i="160"/>
  <c r="G5" i="161"/>
  <c r="C9" i="161"/>
  <c r="J12" i="161"/>
  <c r="G13" i="161"/>
  <c r="C17" i="161"/>
  <c r="J20" i="161"/>
  <c r="G21" i="161"/>
  <c r="C23" i="161"/>
  <c r="J24" i="161"/>
  <c r="J16" i="162"/>
  <c r="J24" i="162"/>
  <c r="J28" i="162"/>
  <c r="J32" i="162"/>
  <c r="H42" i="162"/>
  <c r="B44" i="162"/>
  <c r="F44" i="162"/>
  <c r="J6" i="164"/>
  <c r="F10" i="164"/>
  <c r="F5" i="164" s="1"/>
  <c r="J16" i="164"/>
  <c r="J28" i="164"/>
  <c r="J36" i="164"/>
  <c r="J44" i="164"/>
  <c r="J52" i="164"/>
  <c r="C36" i="162"/>
  <c r="G36" i="162"/>
  <c r="G39" i="162" s="1"/>
  <c r="E38" i="162"/>
  <c r="I38" i="162"/>
  <c r="C40" i="162"/>
  <c r="G40" i="162"/>
  <c r="E42" i="162"/>
  <c r="I42" i="162"/>
  <c r="C44" i="162"/>
  <c r="G44" i="162"/>
  <c r="G10" i="164"/>
  <c r="E47" i="164"/>
  <c r="I47" i="164"/>
  <c r="D51" i="164"/>
  <c r="E55" i="164"/>
  <c r="I55" i="164"/>
  <c r="I57" i="164"/>
  <c r="J26" i="161"/>
  <c r="J30" i="161"/>
  <c r="J6" i="162"/>
  <c r="J10" i="162"/>
  <c r="J14" i="162"/>
  <c r="J18" i="162"/>
  <c r="J22" i="162"/>
  <c r="J26" i="162"/>
  <c r="J30" i="162"/>
  <c r="J34" i="162"/>
  <c r="D36" i="162"/>
  <c r="D13" i="162" s="1"/>
  <c r="H36" i="162"/>
  <c r="H25" i="162" s="1"/>
  <c r="D40" i="162"/>
  <c r="H40" i="162"/>
  <c r="B42" i="162"/>
  <c r="F42" i="162"/>
  <c r="D44" i="162"/>
  <c r="H44" i="162"/>
  <c r="D10" i="164"/>
  <c r="D5" i="164" s="1"/>
  <c r="H10" i="164"/>
  <c r="H9" i="164" s="1"/>
  <c r="D18" i="164"/>
  <c r="D15" i="164" s="1"/>
  <c r="J24" i="164"/>
  <c r="I25" i="164"/>
  <c r="D29" i="164"/>
  <c r="H29" i="164"/>
  <c r="J32" i="164"/>
  <c r="I33" i="164"/>
  <c r="D37" i="164"/>
  <c r="H37" i="164"/>
  <c r="E37" i="164"/>
  <c r="J40" i="164"/>
  <c r="I41" i="164"/>
  <c r="D45" i="164"/>
  <c r="H45" i="164"/>
  <c r="E45" i="164"/>
  <c r="J48" i="164"/>
  <c r="D53" i="164"/>
  <c r="H53" i="164"/>
  <c r="D63" i="164"/>
  <c r="H63" i="164"/>
  <c r="E10" i="164"/>
  <c r="E7" i="164" s="1"/>
  <c r="I10" i="164"/>
  <c r="I7" i="164" s="1"/>
  <c r="C10" i="164"/>
  <c r="C7" i="164" s="1"/>
  <c r="E18" i="164"/>
  <c r="E17" i="164" s="1"/>
  <c r="E27" i="164"/>
  <c r="I27" i="164"/>
  <c r="E35" i="164"/>
  <c r="I35" i="164"/>
  <c r="I43" i="164"/>
  <c r="E51" i="164"/>
  <c r="I51" i="164"/>
  <c r="K8" i="165"/>
  <c r="K16" i="165"/>
  <c r="K6" i="165"/>
  <c r="K14" i="165"/>
  <c r="K6" i="166"/>
  <c r="B14" i="166"/>
  <c r="J4" i="164"/>
  <c r="J8" i="164"/>
  <c r="J14" i="164"/>
  <c r="B18" i="164"/>
  <c r="B17" i="164" s="1"/>
  <c r="F18" i="164"/>
  <c r="F17" i="164" s="1"/>
  <c r="J26" i="164"/>
  <c r="J30" i="164"/>
  <c r="J34" i="164"/>
  <c r="J38" i="164"/>
  <c r="J42" i="164"/>
  <c r="J46" i="164"/>
  <c r="J47" i="164" s="1"/>
  <c r="J50" i="164"/>
  <c r="J54" i="164"/>
  <c r="B57" i="164"/>
  <c r="F57" i="164"/>
  <c r="J56" i="164"/>
  <c r="E63" i="164"/>
  <c r="I63" i="164"/>
  <c r="K4" i="165"/>
  <c r="K12" i="165"/>
  <c r="K20" i="165"/>
  <c r="K12" i="166"/>
  <c r="F14" i="166"/>
  <c r="C57" i="164"/>
  <c r="G57" i="164"/>
  <c r="J62" i="164"/>
  <c r="K10" i="165"/>
  <c r="J25" i="165"/>
  <c r="K26" i="165"/>
  <c r="K10" i="166"/>
  <c r="J14" i="166"/>
  <c r="J11" i="166" s="1"/>
  <c r="C34" i="167"/>
  <c r="G34" i="167"/>
  <c r="K6" i="167"/>
  <c r="K8" i="167"/>
  <c r="K12" i="167"/>
  <c r="K14" i="167"/>
  <c r="K16" i="167"/>
  <c r="K18" i="167"/>
  <c r="K20" i="167"/>
  <c r="K22" i="167"/>
  <c r="K24" i="167"/>
  <c r="K26" i="167"/>
  <c r="K28" i="167"/>
  <c r="K30" i="167"/>
  <c r="K32" i="167"/>
  <c r="K20" i="168"/>
  <c r="J38" i="168"/>
  <c r="J36" i="168"/>
  <c r="J9" i="168" s="1"/>
  <c r="K18" i="168"/>
  <c r="K22" i="168"/>
  <c r="K4" i="168"/>
  <c r="K12" i="168"/>
  <c r="K24" i="168"/>
  <c r="K26" i="168"/>
  <c r="K28" i="168"/>
  <c r="K30" i="168"/>
  <c r="K32" i="168"/>
  <c r="K34" i="168"/>
  <c r="K4" i="170"/>
  <c r="B10" i="170"/>
  <c r="B5" i="170" s="1"/>
  <c r="G5" i="170"/>
  <c r="G7" i="170"/>
  <c r="D10" i="170"/>
  <c r="D7" i="170" s="1"/>
  <c r="H10" i="170"/>
  <c r="H9" i="170" s="1"/>
  <c r="I10" i="170"/>
  <c r="I9" i="170" s="1"/>
  <c r="J10" i="170"/>
  <c r="J9" i="170" s="1"/>
  <c r="B18" i="170"/>
  <c r="F18" i="170"/>
  <c r="J18" i="170"/>
  <c r="J17" i="170" s="1"/>
  <c r="J39" i="170"/>
  <c r="J63" i="170"/>
  <c r="K6" i="170"/>
  <c r="K8" i="170"/>
  <c r="K14" i="170"/>
  <c r="K16" i="170"/>
  <c r="C18" i="170"/>
  <c r="J53" i="170"/>
  <c r="J25" i="170"/>
  <c r="J27" i="170"/>
  <c r="J29" i="170"/>
  <c r="J31" i="170"/>
  <c r="J33" i="170"/>
  <c r="J35" i="170"/>
  <c r="J37" i="170"/>
  <c r="J41" i="170"/>
  <c r="J45" i="170"/>
  <c r="J47" i="170"/>
  <c r="J49" i="170"/>
  <c r="J51" i="170"/>
  <c r="J55" i="170"/>
  <c r="K40" i="170"/>
  <c r="K46" i="170"/>
  <c r="K48" i="170"/>
  <c r="K50" i="170"/>
  <c r="K52" i="170"/>
  <c r="K54" i="170"/>
  <c r="K56" i="170"/>
  <c r="K62" i="170"/>
  <c r="K19" i="171"/>
  <c r="Q37" i="172"/>
  <c r="Q45" i="172"/>
  <c r="Q5" i="172"/>
  <c r="Q91" i="172" s="1"/>
  <c r="H15" i="164" l="1"/>
  <c r="H19" i="164" s="1"/>
  <c r="B5" i="164"/>
  <c r="J51" i="164"/>
  <c r="E9" i="159"/>
  <c r="E19" i="159"/>
  <c r="F21" i="159"/>
  <c r="H5" i="170"/>
  <c r="F9" i="164"/>
  <c r="D21" i="159"/>
  <c r="B21" i="159"/>
  <c r="B13" i="159"/>
  <c r="B5" i="159"/>
  <c r="B11" i="159"/>
  <c r="B25" i="159"/>
  <c r="D5" i="159"/>
  <c r="B7" i="159"/>
  <c r="B27" i="159"/>
  <c r="B17" i="159"/>
  <c r="B9" i="159"/>
  <c r="B15" i="159"/>
  <c r="G11" i="159"/>
  <c r="K14" i="166"/>
  <c r="K11" i="166" s="1"/>
  <c r="E13" i="159"/>
  <c r="E17" i="159"/>
  <c r="J15" i="167"/>
  <c r="D44" i="171"/>
  <c r="D31" i="171" s="1"/>
  <c r="B44" i="171"/>
  <c r="B41" i="171" s="1"/>
  <c r="K36" i="171"/>
  <c r="K13" i="171"/>
  <c r="K11" i="171"/>
  <c r="C21" i="171"/>
  <c r="C8" i="171" s="1"/>
  <c r="K7" i="171"/>
  <c r="J21" i="171"/>
  <c r="J8" i="171" s="1"/>
  <c r="K5" i="171"/>
  <c r="B39" i="171"/>
  <c r="F21" i="171"/>
  <c r="F12" i="171" s="1"/>
  <c r="I21" i="171"/>
  <c r="I16" i="171" s="1"/>
  <c r="J44" i="171"/>
  <c r="J29" i="171" s="1"/>
  <c r="G44" i="171"/>
  <c r="G43" i="171" s="1"/>
  <c r="E21" i="171"/>
  <c r="E18" i="171" s="1"/>
  <c r="F44" i="171"/>
  <c r="F41" i="171" s="1"/>
  <c r="B21" i="171"/>
  <c r="B14" i="171" s="1"/>
  <c r="D21" i="171"/>
  <c r="D20" i="171" s="1"/>
  <c r="I44" i="171"/>
  <c r="I37" i="171" s="1"/>
  <c r="K15" i="171"/>
  <c r="G21" i="171"/>
  <c r="G14" i="171" s="1"/>
  <c r="K32" i="171"/>
  <c r="E5" i="170"/>
  <c r="C7" i="170"/>
  <c r="K59" i="170"/>
  <c r="K61" i="170"/>
  <c r="C5" i="170"/>
  <c r="K55" i="170"/>
  <c r="K53" i="170"/>
  <c r="C17" i="170"/>
  <c r="C15" i="170"/>
  <c r="G15" i="170"/>
  <c r="G17" i="170"/>
  <c r="B15" i="170"/>
  <c r="B17" i="170"/>
  <c r="I15" i="170"/>
  <c r="I17" i="170"/>
  <c r="F15" i="170"/>
  <c r="F17" i="170"/>
  <c r="K51" i="170"/>
  <c r="B9" i="170"/>
  <c r="F9" i="170"/>
  <c r="F5" i="170"/>
  <c r="E9" i="170"/>
  <c r="B7" i="170"/>
  <c r="J57" i="164"/>
  <c r="J35" i="164"/>
  <c r="K38" i="171"/>
  <c r="G17" i="159"/>
  <c r="H44" i="171"/>
  <c r="H43" i="171" s="1"/>
  <c r="J31" i="171"/>
  <c r="K9" i="171"/>
  <c r="J31" i="164"/>
  <c r="E15" i="159"/>
  <c r="G25" i="159"/>
  <c r="C44" i="171"/>
  <c r="C31" i="171" s="1"/>
  <c r="H21" i="171"/>
  <c r="K28" i="171"/>
  <c r="E11" i="159"/>
  <c r="I19" i="164"/>
  <c r="B15" i="164"/>
  <c r="B19" i="164" s="1"/>
  <c r="I29" i="162"/>
  <c r="K34" i="171"/>
  <c r="B5" i="168"/>
  <c r="B7" i="168"/>
  <c r="B9" i="168"/>
  <c r="B11" i="168"/>
  <c r="B13" i="168"/>
  <c r="B15" i="168"/>
  <c r="B17" i="168"/>
  <c r="B19" i="168"/>
  <c r="B21" i="168"/>
  <c r="B23" i="168"/>
  <c r="B25" i="168"/>
  <c r="B27" i="168"/>
  <c r="B29" i="168"/>
  <c r="B31" i="168"/>
  <c r="B33" i="168"/>
  <c r="B35" i="168"/>
  <c r="I23" i="168"/>
  <c r="I31" i="168"/>
  <c r="I19" i="168"/>
  <c r="I27" i="168"/>
  <c r="I35" i="168"/>
  <c r="I5" i="168"/>
  <c r="I7" i="168"/>
  <c r="I9" i="168"/>
  <c r="I11" i="168"/>
  <c r="I13" i="168"/>
  <c r="I15" i="168"/>
  <c r="I17" i="168"/>
  <c r="I25" i="168"/>
  <c r="I29" i="168"/>
  <c r="I33" i="168"/>
  <c r="I21" i="168"/>
  <c r="F5" i="168"/>
  <c r="F7" i="168"/>
  <c r="F9" i="168"/>
  <c r="F11" i="168"/>
  <c r="F13" i="168"/>
  <c r="F15" i="168"/>
  <c r="F17" i="168"/>
  <c r="F19" i="168"/>
  <c r="F21" i="168"/>
  <c r="F23" i="168"/>
  <c r="F25" i="168"/>
  <c r="F27" i="168"/>
  <c r="F29" i="168"/>
  <c r="F31" i="168"/>
  <c r="F33" i="168"/>
  <c r="F35" i="168"/>
  <c r="E5" i="168"/>
  <c r="E11" i="168"/>
  <c r="E17" i="168"/>
  <c r="E19" i="168"/>
  <c r="E25" i="168"/>
  <c r="E33" i="168"/>
  <c r="E7" i="168"/>
  <c r="E9" i="168"/>
  <c r="E13" i="168"/>
  <c r="E23" i="168"/>
  <c r="E21" i="168"/>
  <c r="E27" i="168"/>
  <c r="E31" i="168"/>
  <c r="E35" i="168"/>
  <c r="E15" i="168"/>
  <c r="E29" i="168"/>
  <c r="G5" i="168"/>
  <c r="G7" i="168"/>
  <c r="G9" i="168"/>
  <c r="G11" i="168"/>
  <c r="G13" i="168"/>
  <c r="G15" i="168"/>
  <c r="G17" i="168"/>
  <c r="G19" i="168"/>
  <c r="G21" i="168"/>
  <c r="G23" i="168"/>
  <c r="G25" i="168"/>
  <c r="G27" i="168"/>
  <c r="G29" i="168"/>
  <c r="G31" i="168"/>
  <c r="G33" i="168"/>
  <c r="G35" i="168"/>
  <c r="D5" i="168"/>
  <c r="D7" i="168"/>
  <c r="D9" i="168"/>
  <c r="D11" i="168"/>
  <c r="D13" i="168"/>
  <c r="D15" i="168"/>
  <c r="D17" i="168"/>
  <c r="D19" i="168"/>
  <c r="D21" i="168"/>
  <c r="D23" i="168"/>
  <c r="D25" i="168"/>
  <c r="D27" i="168"/>
  <c r="D29" i="168"/>
  <c r="D31" i="168"/>
  <c r="D33" i="168"/>
  <c r="D35" i="168"/>
  <c r="C5" i="168"/>
  <c r="C7" i="168"/>
  <c r="C9" i="168"/>
  <c r="C11" i="168"/>
  <c r="C13" i="168"/>
  <c r="C15" i="168"/>
  <c r="C17" i="168"/>
  <c r="C19" i="168"/>
  <c r="C21" i="168"/>
  <c r="C23" i="168"/>
  <c r="C25" i="168"/>
  <c r="C27" i="168"/>
  <c r="C29" i="168"/>
  <c r="C31" i="168"/>
  <c r="C33" i="168"/>
  <c r="C35" i="168"/>
  <c r="H5" i="168"/>
  <c r="H7" i="168"/>
  <c r="H9" i="168"/>
  <c r="H11" i="168"/>
  <c r="H13" i="168"/>
  <c r="H15" i="168"/>
  <c r="H17" i="168"/>
  <c r="H19" i="168"/>
  <c r="H21" i="168"/>
  <c r="H23" i="168"/>
  <c r="H25" i="168"/>
  <c r="H27" i="168"/>
  <c r="H29" i="168"/>
  <c r="H31" i="168"/>
  <c r="H33" i="168"/>
  <c r="H35" i="168"/>
  <c r="J23" i="168"/>
  <c r="J31" i="168"/>
  <c r="J19" i="168"/>
  <c r="I46" i="168"/>
  <c r="J27" i="168"/>
  <c r="J41" i="168"/>
  <c r="J45" i="168"/>
  <c r="H15" i="161"/>
  <c r="H31" i="161"/>
  <c r="H33" i="161"/>
  <c r="D19" i="161"/>
  <c r="D31" i="161"/>
  <c r="D33" i="161"/>
  <c r="I11" i="161"/>
  <c r="I31" i="161"/>
  <c r="I33" i="161"/>
  <c r="D29" i="161"/>
  <c r="J5" i="167"/>
  <c r="G7" i="167"/>
  <c r="G9" i="167"/>
  <c r="G11" i="167"/>
  <c r="G13" i="167"/>
  <c r="G15" i="167"/>
  <c r="G17" i="167"/>
  <c r="G19" i="167"/>
  <c r="G21" i="167"/>
  <c r="G23" i="167"/>
  <c r="G25" i="167"/>
  <c r="G27" i="167"/>
  <c r="G29" i="167"/>
  <c r="G31" i="167"/>
  <c r="G33" i="167"/>
  <c r="G5" i="167"/>
  <c r="E11" i="167"/>
  <c r="E13" i="167"/>
  <c r="E19" i="167"/>
  <c r="E23" i="167"/>
  <c r="E31" i="167"/>
  <c r="E9" i="167"/>
  <c r="E17" i="167"/>
  <c r="E21" i="167"/>
  <c r="E27" i="167"/>
  <c r="E29" i="167"/>
  <c r="E25" i="167"/>
  <c r="E5" i="167"/>
  <c r="E7" i="167"/>
  <c r="E33" i="167"/>
  <c r="E15" i="167"/>
  <c r="H9" i="167"/>
  <c r="H11" i="167"/>
  <c r="H15" i="167"/>
  <c r="H17" i="167"/>
  <c r="H19" i="167"/>
  <c r="H21" i="167"/>
  <c r="H23" i="167"/>
  <c r="H29" i="167"/>
  <c r="H33" i="167"/>
  <c r="H7" i="167"/>
  <c r="H25" i="167"/>
  <c r="H27" i="167"/>
  <c r="H31" i="167"/>
  <c r="H5" i="167"/>
  <c r="H13" i="167"/>
  <c r="B7" i="167"/>
  <c r="B9" i="167"/>
  <c r="B11" i="167"/>
  <c r="B13" i="167"/>
  <c r="B15" i="167"/>
  <c r="B17" i="167"/>
  <c r="B19" i="167"/>
  <c r="B21" i="167"/>
  <c r="B23" i="167"/>
  <c r="B25" i="167"/>
  <c r="B27" i="167"/>
  <c r="B29" i="167"/>
  <c r="B31" i="167"/>
  <c r="B33" i="167"/>
  <c r="B5" i="167"/>
  <c r="C7" i="167"/>
  <c r="C9" i="167"/>
  <c r="C11" i="167"/>
  <c r="C13" i="167"/>
  <c r="C15" i="167"/>
  <c r="C17" i="167"/>
  <c r="C19" i="167"/>
  <c r="C21" i="167"/>
  <c r="C23" i="167"/>
  <c r="C25" i="167"/>
  <c r="C27" i="167"/>
  <c r="C29" i="167"/>
  <c r="C31" i="167"/>
  <c r="C33" i="167"/>
  <c r="C5" i="167"/>
  <c r="F7" i="167"/>
  <c r="F9" i="167"/>
  <c r="F11" i="167"/>
  <c r="F13" i="167"/>
  <c r="F15" i="167"/>
  <c r="F17" i="167"/>
  <c r="F19" i="167"/>
  <c r="F21" i="167"/>
  <c r="F23" i="167"/>
  <c r="F25" i="167"/>
  <c r="F27" i="167"/>
  <c r="F29" i="167"/>
  <c r="F31" i="167"/>
  <c r="F33" i="167"/>
  <c r="F5" i="167"/>
  <c r="D7" i="167"/>
  <c r="D9" i="167"/>
  <c r="D13" i="167"/>
  <c r="D25" i="167"/>
  <c r="D27" i="167"/>
  <c r="D31" i="167"/>
  <c r="D11" i="167"/>
  <c r="D15" i="167"/>
  <c r="D17" i="167"/>
  <c r="D19" i="167"/>
  <c r="D21" i="167"/>
  <c r="D23" i="167"/>
  <c r="D29" i="167"/>
  <c r="D33" i="167"/>
  <c r="D5" i="167"/>
  <c r="I9" i="167"/>
  <c r="I15" i="167"/>
  <c r="I21" i="167"/>
  <c r="I25" i="167"/>
  <c r="I27" i="167"/>
  <c r="I29" i="167"/>
  <c r="I7" i="167"/>
  <c r="I11" i="167"/>
  <c r="I13" i="167"/>
  <c r="I17" i="167"/>
  <c r="I19" i="167"/>
  <c r="I23" i="167"/>
  <c r="I31" i="167"/>
  <c r="I33" i="167"/>
  <c r="I5" i="167"/>
  <c r="J21" i="167"/>
  <c r="J9" i="167"/>
  <c r="J31" i="167"/>
  <c r="J25" i="167"/>
  <c r="E5" i="166"/>
  <c r="E7" i="166"/>
  <c r="E9" i="166"/>
  <c r="E11" i="166"/>
  <c r="E13" i="166"/>
  <c r="D5" i="166"/>
  <c r="D7" i="166"/>
  <c r="D9" i="166"/>
  <c r="D11" i="166"/>
  <c r="D13" i="166"/>
  <c r="I5" i="166"/>
  <c r="I7" i="166"/>
  <c r="I9" i="166"/>
  <c r="I11" i="166"/>
  <c r="I13" i="166"/>
  <c r="B5" i="166"/>
  <c r="B7" i="166"/>
  <c r="B9" i="166"/>
  <c r="B13" i="166"/>
  <c r="B11" i="166"/>
  <c r="H5" i="166"/>
  <c r="H7" i="166"/>
  <c r="H9" i="166"/>
  <c r="H11" i="166"/>
  <c r="H13" i="166"/>
  <c r="F11" i="166"/>
  <c r="F5" i="166"/>
  <c r="F7" i="166"/>
  <c r="F9" i="166"/>
  <c r="F13" i="166"/>
  <c r="C5" i="166"/>
  <c r="C7" i="166"/>
  <c r="C9" i="166"/>
  <c r="C11" i="166"/>
  <c r="C13" i="166"/>
  <c r="J27" i="165"/>
  <c r="J59" i="164"/>
  <c r="J61" i="164"/>
  <c r="H5" i="164"/>
  <c r="J63" i="164"/>
  <c r="F15" i="164"/>
  <c r="F19" i="164" s="1"/>
  <c r="D17" i="164"/>
  <c r="D19" i="164" s="1"/>
  <c r="G17" i="164"/>
  <c r="G19" i="164" s="1"/>
  <c r="D7" i="164"/>
  <c r="C45" i="162"/>
  <c r="E25" i="162"/>
  <c r="E13" i="162"/>
  <c r="E29" i="162"/>
  <c r="E41" i="162"/>
  <c r="E5" i="162"/>
  <c r="E11" i="162"/>
  <c r="G45" i="162"/>
  <c r="F31" i="162"/>
  <c r="E27" i="162"/>
  <c r="B31" i="162"/>
  <c r="F7" i="162"/>
  <c r="E33" i="162"/>
  <c r="E19" i="162"/>
  <c r="E17" i="162"/>
  <c r="G41" i="162"/>
  <c r="E23" i="162"/>
  <c r="E43" i="162"/>
  <c r="F15" i="162"/>
  <c r="E15" i="162"/>
  <c r="E45" i="162"/>
  <c r="E7" i="162"/>
  <c r="B27" i="162"/>
  <c r="I11" i="162"/>
  <c r="I33" i="162"/>
  <c r="B9" i="162"/>
  <c r="I45" i="162"/>
  <c r="I21" i="162"/>
  <c r="B35" i="162"/>
  <c r="B23" i="162"/>
  <c r="B15" i="162"/>
  <c r="B19" i="162"/>
  <c r="F35" i="162"/>
  <c r="F25" i="162"/>
  <c r="F41" i="162"/>
  <c r="F5" i="162"/>
  <c r="F29" i="162"/>
  <c r="F23" i="162"/>
  <c r="F13" i="162"/>
  <c r="G21" i="162"/>
  <c r="F11" i="162"/>
  <c r="F9" i="162"/>
  <c r="F43" i="162"/>
  <c r="C41" i="162"/>
  <c r="H45" i="162"/>
  <c r="H41" i="162"/>
  <c r="G5" i="162"/>
  <c r="F45" i="162"/>
  <c r="F33" i="162"/>
  <c r="F27" i="162"/>
  <c r="F21" i="162"/>
  <c r="I7" i="162"/>
  <c r="B25" i="162"/>
  <c r="B17" i="162"/>
  <c r="B33" i="162"/>
  <c r="B7" i="162"/>
  <c r="B21" i="162"/>
  <c r="B11" i="162"/>
  <c r="D27" i="161"/>
  <c r="D9" i="161"/>
  <c r="D7" i="161"/>
  <c r="D21" i="161"/>
  <c r="H21" i="161"/>
  <c r="H25" i="161"/>
  <c r="H17" i="161"/>
  <c r="D5" i="161"/>
  <c r="D17" i="161"/>
  <c r="D11" i="161"/>
  <c r="D25" i="161"/>
  <c r="D13" i="161"/>
  <c r="D23" i="161"/>
  <c r="I17" i="161"/>
  <c r="I21" i="161"/>
  <c r="H9" i="161"/>
  <c r="I19" i="161"/>
  <c r="I27" i="161"/>
  <c r="I23" i="161"/>
  <c r="I15" i="161"/>
  <c r="I7" i="161"/>
  <c r="H27" i="161"/>
  <c r="H23" i="161"/>
  <c r="I13" i="161"/>
  <c r="H29" i="161"/>
  <c r="H5" i="161"/>
  <c r="H11" i="161"/>
  <c r="H7" i="161"/>
  <c r="H13" i="161"/>
  <c r="H19" i="161"/>
  <c r="C15" i="160"/>
  <c r="H15" i="160"/>
  <c r="I15" i="160"/>
  <c r="F15" i="160"/>
  <c r="K49" i="170"/>
  <c r="H19" i="170"/>
  <c r="J25" i="168"/>
  <c r="J19" i="167"/>
  <c r="I5" i="164"/>
  <c r="B9" i="164"/>
  <c r="B11" i="164" s="1"/>
  <c r="I19" i="162"/>
  <c r="K47" i="170"/>
  <c r="D19" i="170"/>
  <c r="J29" i="167"/>
  <c r="J13" i="167"/>
  <c r="I9" i="162"/>
  <c r="I9" i="161"/>
  <c r="J22" i="159"/>
  <c r="E27" i="159"/>
  <c r="E25" i="159"/>
  <c r="E21" i="162"/>
  <c r="E9" i="162"/>
  <c r="I17" i="162"/>
  <c r="I5" i="162"/>
  <c r="K30" i="171"/>
  <c r="J23" i="167"/>
  <c r="I15" i="162"/>
  <c r="I23" i="162"/>
  <c r="J33" i="168"/>
  <c r="J35" i="168"/>
  <c r="J33" i="167"/>
  <c r="I43" i="162"/>
  <c r="I31" i="162"/>
  <c r="I27" i="162"/>
  <c r="K39" i="170"/>
  <c r="K44" i="168"/>
  <c r="C17" i="164"/>
  <c r="C19" i="164" s="1"/>
  <c r="K41" i="170"/>
  <c r="K63" i="170"/>
  <c r="J29" i="168"/>
  <c r="J7" i="167"/>
  <c r="K34" i="167"/>
  <c r="K21" i="167" s="1"/>
  <c r="J17" i="167"/>
  <c r="K57" i="170"/>
  <c r="K25" i="170"/>
  <c r="E19" i="170"/>
  <c r="J27" i="167"/>
  <c r="B29" i="162"/>
  <c r="F17" i="162"/>
  <c r="I25" i="162"/>
  <c r="I41" i="162"/>
  <c r="I13" i="162"/>
  <c r="E21" i="159"/>
  <c r="E7" i="159"/>
  <c r="E31" i="162"/>
  <c r="G15" i="159"/>
  <c r="G21" i="159"/>
  <c r="G9" i="159"/>
  <c r="D9" i="159"/>
  <c r="D7" i="159"/>
  <c r="D13" i="159"/>
  <c r="G27" i="159"/>
  <c r="D19" i="159"/>
  <c r="G19" i="159"/>
  <c r="G7" i="159"/>
  <c r="F9" i="159"/>
  <c r="F11" i="159"/>
  <c r="D25" i="159"/>
  <c r="G13" i="159"/>
  <c r="D11" i="159"/>
  <c r="I23" i="159"/>
  <c r="D17" i="159"/>
  <c r="D27" i="159"/>
  <c r="C23" i="159"/>
  <c r="E44" i="171"/>
  <c r="E39" i="171" s="1"/>
  <c r="I5" i="170"/>
  <c r="I7" i="170"/>
  <c r="D9" i="170"/>
  <c r="G11" i="170"/>
  <c r="G46" i="168"/>
  <c r="K35" i="170"/>
  <c r="J46" i="168"/>
  <c r="J39" i="168"/>
  <c r="B46" i="168"/>
  <c r="K38" i="168"/>
  <c r="D46" i="168"/>
  <c r="J11" i="165"/>
  <c r="J21" i="165"/>
  <c r="J9" i="165"/>
  <c r="J33" i="164"/>
  <c r="B43" i="162"/>
  <c r="J42" i="162"/>
  <c r="C35" i="162"/>
  <c r="C31" i="162"/>
  <c r="C27" i="162"/>
  <c r="C23" i="162"/>
  <c r="C7" i="162"/>
  <c r="C19" i="162"/>
  <c r="C15" i="162"/>
  <c r="C11" i="162"/>
  <c r="J53" i="164"/>
  <c r="D15" i="162"/>
  <c r="D9" i="162"/>
  <c r="H5" i="162"/>
  <c r="D33" i="162"/>
  <c r="D29" i="162"/>
  <c r="D25" i="162"/>
  <c r="H17" i="162"/>
  <c r="D7" i="162"/>
  <c r="C39" i="162"/>
  <c r="E34" i="161"/>
  <c r="H11" i="162"/>
  <c r="G35" i="161"/>
  <c r="D9" i="164"/>
  <c r="C33" i="162"/>
  <c r="C25" i="162"/>
  <c r="B39" i="162"/>
  <c r="B46" i="162"/>
  <c r="J38" i="162"/>
  <c r="E13" i="160"/>
  <c r="D5" i="160"/>
  <c r="D11" i="160"/>
  <c r="H23" i="159"/>
  <c r="J7" i="170"/>
  <c r="K43" i="170"/>
  <c r="J5" i="170"/>
  <c r="K33" i="170"/>
  <c r="K27" i="170"/>
  <c r="K29" i="170"/>
  <c r="J13" i="168"/>
  <c r="J19" i="165"/>
  <c r="J5" i="168"/>
  <c r="J13" i="166"/>
  <c r="J5" i="166"/>
  <c r="J18" i="164"/>
  <c r="J17" i="164" s="1"/>
  <c r="J11" i="168"/>
  <c r="J9" i="166"/>
  <c r="J17" i="165"/>
  <c r="J25" i="164"/>
  <c r="G5" i="164"/>
  <c r="G9" i="164"/>
  <c r="G7" i="164"/>
  <c r="I39" i="162"/>
  <c r="I46" i="162"/>
  <c r="J45" i="164"/>
  <c r="D5" i="162"/>
  <c r="H35" i="162"/>
  <c r="H31" i="162"/>
  <c r="H27" i="162"/>
  <c r="H23" i="162"/>
  <c r="C21" i="162"/>
  <c r="D17" i="162"/>
  <c r="H39" i="162"/>
  <c r="H46" i="162"/>
  <c r="C46" i="162"/>
  <c r="D21" i="162"/>
  <c r="G9" i="162"/>
  <c r="B34" i="161"/>
  <c r="J4" i="161"/>
  <c r="J34" i="161" s="1"/>
  <c r="G29" i="162"/>
  <c r="G43" i="162"/>
  <c r="G17" i="162"/>
  <c r="F39" i="162"/>
  <c r="F46" i="162"/>
  <c r="B41" i="162"/>
  <c r="J40" i="162"/>
  <c r="D9" i="160"/>
  <c r="E5" i="160"/>
  <c r="G15" i="160"/>
  <c r="E11" i="160"/>
  <c r="E9" i="160"/>
  <c r="F20" i="171"/>
  <c r="J15" i="170"/>
  <c r="J19" i="170" s="1"/>
  <c r="H7" i="170"/>
  <c r="H11" i="170" s="1"/>
  <c r="C46" i="168"/>
  <c r="J43" i="168"/>
  <c r="K42" i="168"/>
  <c r="F46" i="168"/>
  <c r="E46" i="168"/>
  <c r="H46" i="168"/>
  <c r="J7" i="168"/>
  <c r="G15" i="166"/>
  <c r="J5" i="165"/>
  <c r="J43" i="164"/>
  <c r="J27" i="164"/>
  <c r="J7" i="166"/>
  <c r="J7" i="165"/>
  <c r="J17" i="168"/>
  <c r="E15" i="164"/>
  <c r="E19" i="164" s="1"/>
  <c r="J49" i="164"/>
  <c r="D45" i="162"/>
  <c r="D41" i="162"/>
  <c r="C5" i="162"/>
  <c r="I9" i="164"/>
  <c r="E39" i="162"/>
  <c r="E46" i="162"/>
  <c r="J37" i="164"/>
  <c r="B45" i="162"/>
  <c r="J44" i="162"/>
  <c r="G13" i="162"/>
  <c r="C35" i="161"/>
  <c r="D11" i="162"/>
  <c r="D35" i="162"/>
  <c r="D31" i="162"/>
  <c r="D27" i="162"/>
  <c r="D43" i="162"/>
  <c r="H7" i="162"/>
  <c r="C29" i="162"/>
  <c r="C43" i="162"/>
  <c r="H19" i="162"/>
  <c r="C17" i="162"/>
  <c r="H13" i="162"/>
  <c r="J36" i="162"/>
  <c r="J27" i="162" s="1"/>
  <c r="I29" i="161"/>
  <c r="I25" i="161"/>
  <c r="F7" i="164"/>
  <c r="F11" i="164" s="1"/>
  <c r="B13" i="162"/>
  <c r="F34" i="161"/>
  <c r="D7" i="160"/>
  <c r="K18" i="170"/>
  <c r="K17" i="170" s="1"/>
  <c r="K45" i="170"/>
  <c r="D5" i="170"/>
  <c r="K10" i="170"/>
  <c r="K5" i="170" s="1"/>
  <c r="K37" i="170"/>
  <c r="K36" i="168"/>
  <c r="K23" i="168" s="1"/>
  <c r="K31" i="170"/>
  <c r="J21" i="168"/>
  <c r="J15" i="168"/>
  <c r="J13" i="165"/>
  <c r="J55" i="164"/>
  <c r="J39" i="164"/>
  <c r="J10" i="164"/>
  <c r="J5" i="164" s="1"/>
  <c r="K13" i="165"/>
  <c r="J15" i="165"/>
  <c r="C9" i="164"/>
  <c r="C5" i="164"/>
  <c r="E5" i="164"/>
  <c r="J41" i="164"/>
  <c r="H7" i="164"/>
  <c r="H11" i="164" s="1"/>
  <c r="E9" i="164"/>
  <c r="G35" i="162"/>
  <c r="G31" i="162"/>
  <c r="G27" i="162"/>
  <c r="G23" i="162"/>
  <c r="G19" i="162"/>
  <c r="G11" i="162"/>
  <c r="G7" i="162"/>
  <c r="G15" i="162"/>
  <c r="J29" i="164"/>
  <c r="H43" i="162"/>
  <c r="H15" i="162"/>
  <c r="C13" i="162"/>
  <c r="H9" i="162"/>
  <c r="H21" i="162"/>
  <c r="C9" i="162"/>
  <c r="H33" i="162"/>
  <c r="H29" i="162"/>
  <c r="D23" i="162"/>
  <c r="D39" i="162"/>
  <c r="D46" i="162"/>
  <c r="G46" i="162"/>
  <c r="G33" i="162"/>
  <c r="G25" i="162"/>
  <c r="D19" i="162"/>
  <c r="I5" i="161"/>
  <c r="I8" i="171" l="1"/>
  <c r="B10" i="171"/>
  <c r="J35" i="171"/>
  <c r="B33" i="171"/>
  <c r="D6" i="171"/>
  <c r="B43" i="171"/>
  <c r="D8" i="171"/>
  <c r="F8" i="171"/>
  <c r="F16" i="171"/>
  <c r="I19" i="170"/>
  <c r="G19" i="170"/>
  <c r="E11" i="170"/>
  <c r="B23" i="159"/>
  <c r="E23" i="159"/>
  <c r="K44" i="171"/>
  <c r="K39" i="171" s="1"/>
  <c r="D10" i="171"/>
  <c r="F14" i="171"/>
  <c r="F10" i="171"/>
  <c r="I20" i="171"/>
  <c r="F6" i="171"/>
  <c r="C11" i="170"/>
  <c r="K5" i="166"/>
  <c r="F11" i="170"/>
  <c r="G37" i="171"/>
  <c r="F31" i="171"/>
  <c r="F43" i="171"/>
  <c r="F33" i="171"/>
  <c r="F29" i="171"/>
  <c r="D43" i="171"/>
  <c r="B29" i="171"/>
  <c r="D37" i="171"/>
  <c r="D35" i="171"/>
  <c r="D39" i="171"/>
  <c r="D33" i="171"/>
  <c r="D29" i="171"/>
  <c r="D41" i="171"/>
  <c r="B37" i="171"/>
  <c r="B31" i="171"/>
  <c r="F35" i="171"/>
  <c r="F37" i="171"/>
  <c r="F39" i="171"/>
  <c r="C14" i="171"/>
  <c r="C6" i="171"/>
  <c r="C10" i="171"/>
  <c r="C18" i="171"/>
  <c r="B18" i="171"/>
  <c r="B35" i="171"/>
  <c r="I31" i="171"/>
  <c r="G31" i="171"/>
  <c r="G41" i="171"/>
  <c r="I39" i="171"/>
  <c r="J39" i="171"/>
  <c r="I43" i="171"/>
  <c r="C20" i="171"/>
  <c r="F18" i="171"/>
  <c r="D12" i="171"/>
  <c r="C16" i="171"/>
  <c r="C12" i="171"/>
  <c r="B12" i="171"/>
  <c r="J12" i="171"/>
  <c r="J16" i="171"/>
  <c r="G33" i="171"/>
  <c r="C39" i="171"/>
  <c r="J10" i="171"/>
  <c r="J20" i="171"/>
  <c r="I35" i="171"/>
  <c r="B20" i="171"/>
  <c r="E20" i="171"/>
  <c r="J18" i="171"/>
  <c r="E14" i="171"/>
  <c r="J14" i="171"/>
  <c r="J6" i="171"/>
  <c r="E16" i="171"/>
  <c r="J37" i="171"/>
  <c r="I14" i="171"/>
  <c r="J43" i="171"/>
  <c r="G29" i="171"/>
  <c r="I6" i="171"/>
  <c r="E8" i="171"/>
  <c r="I12" i="171"/>
  <c r="I10" i="171"/>
  <c r="J41" i="171"/>
  <c r="I18" i="171"/>
  <c r="G35" i="171"/>
  <c r="J33" i="171"/>
  <c r="G39" i="171"/>
  <c r="E10" i="171"/>
  <c r="K21" i="171"/>
  <c r="K6" i="171" s="1"/>
  <c r="G6" i="171"/>
  <c r="G10" i="171"/>
  <c r="I33" i="171"/>
  <c r="G18" i="171"/>
  <c r="G8" i="171"/>
  <c r="G20" i="171"/>
  <c r="G16" i="171"/>
  <c r="B6" i="171"/>
  <c r="I29" i="171"/>
  <c r="B8" i="171"/>
  <c r="G12" i="171"/>
  <c r="D14" i="171"/>
  <c r="D18" i="171"/>
  <c r="I41" i="171"/>
  <c r="B16" i="171"/>
  <c r="D16" i="171"/>
  <c r="E6" i="171"/>
  <c r="E12" i="171"/>
  <c r="F19" i="170"/>
  <c r="B11" i="170"/>
  <c r="B19" i="170"/>
  <c r="H33" i="171"/>
  <c r="H29" i="171"/>
  <c r="H35" i="171"/>
  <c r="H39" i="171"/>
  <c r="H20" i="171"/>
  <c r="H6" i="171"/>
  <c r="H14" i="171"/>
  <c r="H10" i="171"/>
  <c r="H8" i="171"/>
  <c r="H18" i="171"/>
  <c r="H16" i="171"/>
  <c r="H12" i="171"/>
  <c r="H37" i="171"/>
  <c r="H41" i="171"/>
  <c r="D11" i="164"/>
  <c r="C41" i="171"/>
  <c r="C43" i="171"/>
  <c r="C35" i="171"/>
  <c r="C37" i="171"/>
  <c r="H31" i="171"/>
  <c r="C33" i="171"/>
  <c r="K15" i="170"/>
  <c r="K19" i="170" s="1"/>
  <c r="J11" i="170"/>
  <c r="C29" i="171"/>
  <c r="I37" i="168"/>
  <c r="H37" i="168"/>
  <c r="C37" i="168"/>
  <c r="D37" i="168"/>
  <c r="G37" i="168"/>
  <c r="E37" i="168"/>
  <c r="F37" i="168"/>
  <c r="B37" i="168"/>
  <c r="K27" i="168"/>
  <c r="K33" i="168"/>
  <c r="E5" i="161"/>
  <c r="E31" i="161"/>
  <c r="E33" i="161"/>
  <c r="B31" i="161"/>
  <c r="B33" i="161"/>
  <c r="F31" i="161"/>
  <c r="F33" i="161"/>
  <c r="K19" i="167"/>
  <c r="K33" i="167"/>
  <c r="K23" i="167"/>
  <c r="F35" i="167"/>
  <c r="K5" i="167"/>
  <c r="K9" i="167"/>
  <c r="K31" i="167"/>
  <c r="K29" i="167"/>
  <c r="K11" i="167"/>
  <c r="E35" i="167"/>
  <c r="B35" i="167"/>
  <c r="C35" i="167"/>
  <c r="H35" i="167"/>
  <c r="D35" i="167"/>
  <c r="I35" i="167"/>
  <c r="H15" i="166"/>
  <c r="E15" i="166"/>
  <c r="I15" i="166"/>
  <c r="C15" i="166"/>
  <c r="D15" i="166"/>
  <c r="B15" i="166"/>
  <c r="K11" i="165"/>
  <c r="C11" i="164"/>
  <c r="I11" i="164"/>
  <c r="F37" i="162"/>
  <c r="E37" i="162"/>
  <c r="B37" i="162"/>
  <c r="H35" i="161"/>
  <c r="D35" i="161"/>
  <c r="K27" i="167"/>
  <c r="J35" i="167"/>
  <c r="K7" i="167"/>
  <c r="G35" i="167"/>
  <c r="I37" i="162"/>
  <c r="K13" i="167"/>
  <c r="K7" i="165"/>
  <c r="J13" i="162"/>
  <c r="G37" i="162"/>
  <c r="J17" i="162"/>
  <c r="K17" i="165"/>
  <c r="J21" i="162"/>
  <c r="K17" i="167"/>
  <c r="K41" i="168"/>
  <c r="D11" i="170"/>
  <c r="I35" i="161"/>
  <c r="K15" i="167"/>
  <c r="J19" i="162"/>
  <c r="K25" i="167"/>
  <c r="J9" i="162"/>
  <c r="J29" i="162"/>
  <c r="K21" i="168"/>
  <c r="F23" i="159"/>
  <c r="G23" i="159"/>
  <c r="J19" i="159"/>
  <c r="J27" i="159"/>
  <c r="J15" i="159"/>
  <c r="J25" i="159"/>
  <c r="J21" i="159"/>
  <c r="J5" i="159"/>
  <c r="J7" i="159"/>
  <c r="D23" i="159"/>
  <c r="J13" i="159"/>
  <c r="J11" i="159"/>
  <c r="J9" i="159"/>
  <c r="J17" i="159"/>
  <c r="J15" i="162"/>
  <c r="J23" i="165"/>
  <c r="K27" i="165"/>
  <c r="E15" i="160"/>
  <c r="B11" i="161"/>
  <c r="B27" i="161"/>
  <c r="B9" i="161"/>
  <c r="B23" i="161"/>
  <c r="B13" i="161"/>
  <c r="B25" i="161"/>
  <c r="B7" i="161"/>
  <c r="B15" i="161"/>
  <c r="B19" i="161"/>
  <c r="B29" i="161"/>
  <c r="B17" i="161"/>
  <c r="B21" i="161"/>
  <c r="J35" i="162"/>
  <c r="J15" i="164"/>
  <c r="J19" i="164" s="1"/>
  <c r="K13" i="168"/>
  <c r="K7" i="170"/>
  <c r="J39" i="162"/>
  <c r="H37" i="162"/>
  <c r="J7" i="162"/>
  <c r="K7" i="166"/>
  <c r="K39" i="168"/>
  <c r="K9" i="170"/>
  <c r="F7" i="161"/>
  <c r="F19" i="161"/>
  <c r="F29" i="161"/>
  <c r="F17" i="161"/>
  <c r="F21" i="161"/>
  <c r="F11" i="161"/>
  <c r="F15" i="161"/>
  <c r="F27" i="161"/>
  <c r="F9" i="161"/>
  <c r="F13" i="161"/>
  <c r="F25" i="161"/>
  <c r="F23" i="161"/>
  <c r="C37" i="162"/>
  <c r="D37" i="162"/>
  <c r="E43" i="171"/>
  <c r="E31" i="171"/>
  <c r="E35" i="171"/>
  <c r="E33" i="171"/>
  <c r="E37" i="171"/>
  <c r="E29" i="171"/>
  <c r="E41" i="171"/>
  <c r="K13" i="166"/>
  <c r="F5" i="161"/>
  <c r="J11" i="162"/>
  <c r="K25" i="165"/>
  <c r="K19" i="165"/>
  <c r="K35" i="168"/>
  <c r="J5" i="162"/>
  <c r="J25" i="162"/>
  <c r="J7" i="164"/>
  <c r="J31" i="162"/>
  <c r="J9" i="164"/>
  <c r="K21" i="165"/>
  <c r="K43" i="168"/>
  <c r="K5" i="168"/>
  <c r="B5" i="161"/>
  <c r="G11" i="164"/>
  <c r="K15" i="165"/>
  <c r="J37" i="168"/>
  <c r="C19" i="170"/>
  <c r="J33" i="162"/>
  <c r="J23" i="162"/>
  <c r="K5" i="165"/>
  <c r="I11" i="170"/>
  <c r="K9" i="166"/>
  <c r="E11" i="164"/>
  <c r="K11" i="168"/>
  <c r="K9" i="168"/>
  <c r="K15" i="168"/>
  <c r="K17" i="168"/>
  <c r="K7" i="168"/>
  <c r="J45" i="162"/>
  <c r="K9" i="165"/>
  <c r="F15" i="166"/>
  <c r="K29" i="168"/>
  <c r="J41" i="162"/>
  <c r="K19" i="168"/>
  <c r="K31" i="168"/>
  <c r="D15" i="160"/>
  <c r="E29" i="161"/>
  <c r="E25" i="161"/>
  <c r="E23" i="161"/>
  <c r="E17" i="161"/>
  <c r="E15" i="161"/>
  <c r="E27" i="161"/>
  <c r="E19" i="161"/>
  <c r="E13" i="161"/>
  <c r="E9" i="161"/>
  <c r="E7" i="161"/>
  <c r="E11" i="161"/>
  <c r="E21" i="161"/>
  <c r="J43" i="162"/>
  <c r="K45" i="168"/>
  <c r="K25" i="168"/>
  <c r="F22" i="171" l="1"/>
  <c r="D45" i="171"/>
  <c r="B45" i="171"/>
  <c r="F45" i="171"/>
  <c r="C22" i="171"/>
  <c r="J45" i="171"/>
  <c r="J22" i="171"/>
  <c r="H45" i="171"/>
  <c r="I45" i="171"/>
  <c r="G45" i="171"/>
  <c r="B22" i="171"/>
  <c r="E22" i="171"/>
  <c r="I22" i="171"/>
  <c r="K10" i="171"/>
  <c r="G22" i="171"/>
  <c r="K16" i="171"/>
  <c r="K20" i="171"/>
  <c r="K14" i="171"/>
  <c r="D22" i="171"/>
  <c r="K12" i="171"/>
  <c r="K18" i="171"/>
  <c r="K8" i="171"/>
  <c r="K29" i="171"/>
  <c r="K33" i="171"/>
  <c r="K41" i="171"/>
  <c r="K37" i="171"/>
  <c r="K35" i="171"/>
  <c r="K43" i="171"/>
  <c r="H22" i="171"/>
  <c r="K31" i="171"/>
  <c r="C45" i="171"/>
  <c r="K35" i="167"/>
  <c r="B35" i="161"/>
  <c r="F35" i="161"/>
  <c r="K11" i="170"/>
  <c r="K15" i="166"/>
  <c r="J11" i="164"/>
  <c r="J23" i="159"/>
  <c r="E35" i="161"/>
  <c r="E45" i="171"/>
  <c r="K37" i="168"/>
  <c r="J37" i="162"/>
  <c r="J15" i="161"/>
  <c r="J23" i="161"/>
  <c r="J19" i="161"/>
  <c r="J17" i="161"/>
  <c r="J21" i="161"/>
  <c r="J25" i="161"/>
  <c r="J33" i="161"/>
  <c r="J31" i="161"/>
  <c r="J27" i="161"/>
  <c r="J29" i="161"/>
  <c r="J13" i="161"/>
  <c r="J9" i="161"/>
  <c r="J11" i="161"/>
  <c r="J7" i="161"/>
  <c r="J5" i="161"/>
  <c r="K23" i="165"/>
  <c r="K22" i="171" l="1"/>
  <c r="K45" i="171"/>
  <c r="J35" i="161"/>
  <c r="I32" i="155" l="1"/>
  <c r="I33" i="155"/>
  <c r="I34" i="155"/>
  <c r="C67" i="114" l="1"/>
  <c r="E67" i="114"/>
  <c r="G67" i="114"/>
  <c r="I67" i="114"/>
  <c r="C68" i="114"/>
  <c r="E68" i="114"/>
  <c r="G68" i="114"/>
  <c r="I68" i="114"/>
  <c r="C69" i="114"/>
  <c r="E69" i="114"/>
  <c r="G69" i="114"/>
  <c r="I69" i="114"/>
  <c r="C32" i="114"/>
  <c r="E32" i="114"/>
  <c r="G32" i="114"/>
  <c r="I32" i="114"/>
  <c r="C33" i="114"/>
  <c r="E33" i="114"/>
  <c r="G33" i="114"/>
  <c r="I33" i="114"/>
  <c r="C34" i="114"/>
  <c r="E34" i="114"/>
  <c r="G34" i="114"/>
  <c r="I34" i="114"/>
  <c r="K34" i="114" l="1"/>
  <c r="K32" i="114"/>
  <c r="K67" i="114"/>
  <c r="K33" i="114"/>
  <c r="K68" i="114"/>
  <c r="K69" i="114"/>
  <c r="C65" i="113"/>
  <c r="E65" i="113"/>
  <c r="G65" i="113"/>
  <c r="I65" i="113"/>
  <c r="C66" i="113"/>
  <c r="E66" i="113"/>
  <c r="G66" i="113"/>
  <c r="I66" i="113"/>
  <c r="C67" i="113"/>
  <c r="E67" i="113"/>
  <c r="G67" i="113"/>
  <c r="I67" i="113"/>
  <c r="C31" i="113"/>
  <c r="E31" i="113"/>
  <c r="G31" i="113"/>
  <c r="I31" i="113"/>
  <c r="C32" i="113"/>
  <c r="E32" i="113"/>
  <c r="G32" i="113"/>
  <c r="I32" i="113"/>
  <c r="C33" i="113"/>
  <c r="E33" i="113"/>
  <c r="G33" i="113"/>
  <c r="I33" i="113"/>
  <c r="C31" i="150"/>
  <c r="E31" i="150"/>
  <c r="C32" i="150"/>
  <c r="E32" i="150"/>
  <c r="C33" i="150"/>
  <c r="E33" i="150"/>
  <c r="K66" i="113" l="1"/>
  <c r="K31" i="113"/>
  <c r="K65" i="113"/>
  <c r="K67" i="113"/>
  <c r="K33" i="113"/>
  <c r="K32" i="113"/>
  <c r="G65" i="150"/>
  <c r="G66" i="150"/>
  <c r="G67" i="150"/>
  <c r="C65" i="150"/>
  <c r="E65" i="150"/>
  <c r="C66" i="150"/>
  <c r="E66" i="150"/>
  <c r="C67" i="150"/>
  <c r="E67" i="150"/>
  <c r="G31" i="150"/>
  <c r="G32" i="150"/>
  <c r="I38" i="85" l="1"/>
  <c r="I39" i="85"/>
  <c r="C38" i="85"/>
  <c r="C39" i="85"/>
  <c r="D38" i="85"/>
  <c r="D39" i="85"/>
  <c r="D40" i="85"/>
  <c r="D42" i="81"/>
  <c r="D41" i="81"/>
  <c r="D21" i="81"/>
  <c r="B20" i="80" l="1"/>
  <c r="B9" i="80"/>
  <c r="C20" i="99"/>
  <c r="B9" i="99"/>
  <c r="B20" i="99"/>
  <c r="B9" i="89"/>
  <c r="C42" i="104"/>
  <c r="H42" i="104"/>
  <c r="K34" i="155" s="1"/>
  <c r="H41" i="104"/>
  <c r="K33" i="155" s="1"/>
  <c r="C41" i="104"/>
  <c r="H40" i="104"/>
  <c r="K32" i="155" s="1"/>
  <c r="C40" i="104"/>
  <c r="I20" i="100"/>
  <c r="H20" i="100"/>
  <c r="C20" i="100"/>
  <c r="F16" i="95"/>
  <c r="J20" i="100" l="1"/>
  <c r="H40" i="95"/>
  <c r="J38" i="85" s="1"/>
  <c r="H41" i="95"/>
  <c r="J39" i="85" s="1"/>
  <c r="C41" i="95"/>
  <c r="J33" i="155" s="1"/>
  <c r="C40" i="95"/>
  <c r="J32" i="155" s="1"/>
  <c r="H20" i="90"/>
  <c r="I20" i="90"/>
  <c r="C20" i="90"/>
  <c r="G21" i="81" s="1"/>
  <c r="C19" i="90"/>
  <c r="J20" i="90" l="1"/>
  <c r="G42" i="81" s="1"/>
  <c r="C20" i="89"/>
  <c r="B20" i="89"/>
  <c r="B5" i="89"/>
  <c r="E11" i="113" l="1"/>
  <c r="E10" i="113"/>
  <c r="F31" i="113" l="1"/>
  <c r="M65" i="156" s="1"/>
  <c r="F32" i="113"/>
  <c r="M66" i="156" s="1"/>
  <c r="F33" i="113"/>
  <c r="M67" i="156" s="1"/>
  <c r="F10" i="79"/>
  <c r="F9" i="79"/>
  <c r="F8" i="79"/>
  <c r="F7" i="79"/>
  <c r="F6" i="79"/>
  <c r="E12" i="121" l="1"/>
  <c r="E11" i="121"/>
  <c r="E10" i="121"/>
  <c r="E9" i="121"/>
  <c r="E8" i="121"/>
  <c r="E7" i="121"/>
  <c r="E6" i="121"/>
  <c r="E5" i="121"/>
  <c r="E4" i="121"/>
  <c r="G12" i="121" l="1"/>
  <c r="G11" i="121"/>
  <c r="G10" i="121"/>
  <c r="G9" i="121"/>
  <c r="G8" i="121"/>
  <c r="G7" i="121"/>
  <c r="G6" i="121"/>
  <c r="G5" i="121"/>
  <c r="G4" i="121"/>
  <c r="E45" i="113" l="1"/>
  <c r="E44" i="113"/>
  <c r="F66" i="113" l="1"/>
  <c r="M66" i="174" s="1"/>
  <c r="F65" i="113"/>
  <c r="M65" i="174" s="1"/>
  <c r="F67" i="113"/>
  <c r="M67" i="174" s="1"/>
  <c r="E32" i="122"/>
  <c r="E33" i="122" l="1"/>
  <c r="C32" i="122"/>
  <c r="G28" i="120" l="1"/>
  <c r="G27" i="120"/>
  <c r="G26" i="120"/>
  <c r="G25" i="120"/>
  <c r="G24" i="120"/>
  <c r="G23" i="120"/>
  <c r="G22" i="120"/>
  <c r="G21" i="120"/>
  <c r="G20" i="120"/>
  <c r="C30" i="121" l="1"/>
  <c r="G31" i="121" l="1"/>
  <c r="G30" i="121"/>
  <c r="E31" i="121"/>
  <c r="E30" i="121"/>
  <c r="C31" i="121"/>
  <c r="G16" i="122" l="1"/>
  <c r="C33" i="122"/>
  <c r="I30" i="122"/>
  <c r="I29" i="122"/>
  <c r="I28" i="122"/>
  <c r="I27" i="122"/>
  <c r="I26" i="122"/>
  <c r="I25" i="122"/>
  <c r="I24" i="122"/>
  <c r="I23" i="122"/>
  <c r="I22" i="122"/>
  <c r="I10" i="122"/>
  <c r="I5" i="122"/>
  <c r="E64" i="150" l="1"/>
  <c r="E63" i="150"/>
  <c r="E62" i="150"/>
  <c r="E61" i="150"/>
  <c r="E60" i="150"/>
  <c r="E59" i="150"/>
  <c r="E58" i="150"/>
  <c r="E57" i="150"/>
  <c r="E56" i="150"/>
  <c r="E55" i="150"/>
  <c r="E54" i="150"/>
  <c r="E53" i="150"/>
  <c r="E52" i="150"/>
  <c r="E51" i="150"/>
  <c r="E50" i="150"/>
  <c r="E49" i="150"/>
  <c r="E48" i="150"/>
  <c r="C64" i="150"/>
  <c r="C63" i="150"/>
  <c r="C62" i="150"/>
  <c r="C61" i="150"/>
  <c r="C60" i="150"/>
  <c r="C59" i="150"/>
  <c r="C58" i="150"/>
  <c r="C57" i="150"/>
  <c r="C56" i="150"/>
  <c r="C55" i="150"/>
  <c r="C54" i="150"/>
  <c r="C53" i="150"/>
  <c r="C52" i="150"/>
  <c r="C51" i="150"/>
  <c r="C50" i="150"/>
  <c r="C49" i="150"/>
  <c r="C48" i="150"/>
  <c r="E45" i="150"/>
  <c r="E44" i="150"/>
  <c r="C45" i="150"/>
  <c r="C44" i="150"/>
  <c r="E40" i="150"/>
  <c r="E39" i="150"/>
  <c r="E38" i="150"/>
  <c r="C40" i="150"/>
  <c r="C39" i="150"/>
  <c r="C38" i="150"/>
  <c r="E30" i="150"/>
  <c r="E29" i="150"/>
  <c r="E28" i="150"/>
  <c r="E27" i="150"/>
  <c r="E26" i="150"/>
  <c r="E25" i="150"/>
  <c r="E24" i="150"/>
  <c r="E23" i="150"/>
  <c r="E22" i="150"/>
  <c r="E21" i="150"/>
  <c r="E20" i="150"/>
  <c r="E19" i="150"/>
  <c r="E18" i="150"/>
  <c r="E17" i="150"/>
  <c r="E16" i="150"/>
  <c r="E15" i="150"/>
  <c r="E14" i="150"/>
  <c r="C30" i="150"/>
  <c r="C29" i="150"/>
  <c r="C28" i="150"/>
  <c r="C27" i="150"/>
  <c r="C26" i="150"/>
  <c r="C25" i="150"/>
  <c r="C24" i="150"/>
  <c r="C23" i="150"/>
  <c r="C22" i="150"/>
  <c r="C21" i="150"/>
  <c r="C20" i="150"/>
  <c r="C19" i="150"/>
  <c r="C18" i="150"/>
  <c r="C17" i="150"/>
  <c r="C16" i="150"/>
  <c r="C15" i="150"/>
  <c r="C14" i="150"/>
  <c r="E11" i="150"/>
  <c r="E10" i="150"/>
  <c r="C11" i="150"/>
  <c r="C10" i="150"/>
  <c r="E6" i="150"/>
  <c r="E5" i="150"/>
  <c r="E4" i="150"/>
  <c r="C6" i="150"/>
  <c r="C5" i="150"/>
  <c r="C4" i="150"/>
  <c r="D21" i="150" l="1"/>
  <c r="F32" i="150"/>
  <c r="M22" i="156" s="1"/>
  <c r="F31" i="150"/>
  <c r="M21" i="156" s="1"/>
  <c r="F33" i="150"/>
  <c r="M23" i="156" s="1"/>
  <c r="D32" i="150"/>
  <c r="L22" i="156" s="1"/>
  <c r="D31" i="150"/>
  <c r="L21" i="156" s="1"/>
  <c r="D33" i="150"/>
  <c r="L23" i="156" s="1"/>
  <c r="F65" i="150"/>
  <c r="M21" i="174" s="1"/>
  <c r="F66" i="150"/>
  <c r="M22" i="174" s="1"/>
  <c r="F67" i="150"/>
  <c r="M23" i="174" s="1"/>
  <c r="D67" i="150"/>
  <c r="L23" i="174" s="1"/>
  <c r="D65" i="150"/>
  <c r="L21" i="174" s="1"/>
  <c r="D66" i="150"/>
  <c r="L22" i="174" s="1"/>
  <c r="E5" i="114"/>
  <c r="E7" i="114"/>
  <c r="E6" i="114"/>
  <c r="I31" i="123" l="1"/>
  <c r="I30" i="123"/>
  <c r="G31" i="123"/>
  <c r="G30" i="123"/>
  <c r="E31" i="123"/>
  <c r="E30" i="123"/>
  <c r="C31" i="123"/>
  <c r="C30" i="123"/>
  <c r="I28" i="123"/>
  <c r="I27" i="123"/>
  <c r="I26" i="123"/>
  <c r="I25" i="123"/>
  <c r="I24" i="123"/>
  <c r="I23" i="123"/>
  <c r="I22" i="123"/>
  <c r="I21" i="123"/>
  <c r="I20" i="123"/>
  <c r="G28" i="123"/>
  <c r="G27" i="123"/>
  <c r="G26" i="123"/>
  <c r="G25" i="123"/>
  <c r="G24" i="123"/>
  <c r="G23" i="123"/>
  <c r="G22" i="123"/>
  <c r="G21" i="123"/>
  <c r="G20" i="123"/>
  <c r="E28" i="123"/>
  <c r="E27" i="123"/>
  <c r="E26" i="123"/>
  <c r="E25" i="123"/>
  <c r="E24" i="123"/>
  <c r="E23" i="123"/>
  <c r="E22" i="123"/>
  <c r="E21" i="123"/>
  <c r="E20" i="123"/>
  <c r="C28" i="123"/>
  <c r="C27" i="123"/>
  <c r="C26" i="123"/>
  <c r="C25" i="123"/>
  <c r="C24" i="123"/>
  <c r="C23" i="123"/>
  <c r="C22" i="123"/>
  <c r="C21" i="123"/>
  <c r="I15" i="123"/>
  <c r="I14" i="123"/>
  <c r="G15" i="123"/>
  <c r="G14" i="123"/>
  <c r="E15" i="123"/>
  <c r="E14" i="123"/>
  <c r="C15" i="123"/>
  <c r="C14" i="123"/>
  <c r="I12" i="123"/>
  <c r="I11" i="123"/>
  <c r="I10" i="123"/>
  <c r="I9" i="123"/>
  <c r="I8" i="123"/>
  <c r="I7" i="123"/>
  <c r="I6" i="123"/>
  <c r="I5" i="123"/>
  <c r="I4" i="123"/>
  <c r="G12" i="123"/>
  <c r="G11" i="123"/>
  <c r="G10" i="123"/>
  <c r="G9" i="123"/>
  <c r="G8" i="123"/>
  <c r="G7" i="123"/>
  <c r="G6" i="123"/>
  <c r="G5" i="123"/>
  <c r="G4" i="123"/>
  <c r="E12" i="123"/>
  <c r="E11" i="123"/>
  <c r="E10" i="123"/>
  <c r="E9" i="123"/>
  <c r="E8" i="123"/>
  <c r="E7" i="123"/>
  <c r="E6" i="123"/>
  <c r="E5" i="123"/>
  <c r="E4" i="123"/>
  <c r="C12" i="123"/>
  <c r="C11" i="123"/>
  <c r="C10" i="123"/>
  <c r="C9" i="123"/>
  <c r="C8" i="123"/>
  <c r="C7" i="123"/>
  <c r="C6" i="123"/>
  <c r="C5" i="123"/>
  <c r="C4" i="123"/>
  <c r="I33" i="122"/>
  <c r="I32" i="122"/>
  <c r="G33" i="122"/>
  <c r="G32" i="122"/>
  <c r="G30" i="122"/>
  <c r="G29" i="122"/>
  <c r="G28" i="122"/>
  <c r="G27" i="122"/>
  <c r="G26" i="122"/>
  <c r="G25" i="122"/>
  <c r="G24" i="122"/>
  <c r="G23" i="122"/>
  <c r="G22" i="122"/>
  <c r="E30" i="122"/>
  <c r="E29" i="122"/>
  <c r="E28" i="122"/>
  <c r="E27" i="122"/>
  <c r="E26" i="122"/>
  <c r="E25" i="122"/>
  <c r="E24" i="122"/>
  <c r="E23" i="122"/>
  <c r="E22" i="122"/>
  <c r="C30" i="122"/>
  <c r="C29" i="122"/>
  <c r="C28" i="122"/>
  <c r="C27" i="122"/>
  <c r="C26" i="122"/>
  <c r="C25" i="122"/>
  <c r="C24" i="122"/>
  <c r="C23" i="122"/>
  <c r="C22" i="122"/>
  <c r="I16" i="122"/>
  <c r="I15" i="122"/>
  <c r="G15" i="122"/>
  <c r="E16" i="122"/>
  <c r="E15" i="122"/>
  <c r="C16" i="122"/>
  <c r="C15" i="122"/>
  <c r="I13" i="122"/>
  <c r="I12" i="122"/>
  <c r="I11" i="122"/>
  <c r="I9" i="122"/>
  <c r="I8" i="122"/>
  <c r="I7" i="122"/>
  <c r="I6" i="122"/>
  <c r="G13" i="122"/>
  <c r="G12" i="122"/>
  <c r="G11" i="122"/>
  <c r="G10" i="122"/>
  <c r="G9" i="122"/>
  <c r="G8" i="122"/>
  <c r="G7" i="122"/>
  <c r="G6" i="122"/>
  <c r="G5" i="122"/>
  <c r="E13" i="122"/>
  <c r="E12" i="122"/>
  <c r="E11" i="122"/>
  <c r="E10" i="122"/>
  <c r="E9" i="122"/>
  <c r="E8" i="122"/>
  <c r="E7" i="122"/>
  <c r="E6" i="122"/>
  <c r="E5" i="122"/>
  <c r="C13" i="122"/>
  <c r="C12" i="122"/>
  <c r="C11" i="122"/>
  <c r="C10" i="122"/>
  <c r="C9" i="122"/>
  <c r="C8" i="122"/>
  <c r="C7" i="122"/>
  <c r="C6" i="122"/>
  <c r="C5" i="122"/>
  <c r="I31" i="121"/>
  <c r="I30" i="121"/>
  <c r="I28" i="121"/>
  <c r="I27" i="121"/>
  <c r="I26" i="121"/>
  <c r="I25" i="121"/>
  <c r="I24" i="121"/>
  <c r="I23" i="121"/>
  <c r="I22" i="121"/>
  <c r="I21" i="121"/>
  <c r="I20" i="121"/>
  <c r="G20" i="121"/>
  <c r="E28" i="121"/>
  <c r="E27" i="121"/>
  <c r="E26" i="121"/>
  <c r="E25" i="121"/>
  <c r="E24" i="121"/>
  <c r="E23" i="121"/>
  <c r="E22" i="121"/>
  <c r="E21" i="121"/>
  <c r="E20" i="121"/>
  <c r="C28" i="121"/>
  <c r="C27" i="121"/>
  <c r="C26" i="121"/>
  <c r="C25" i="121"/>
  <c r="C24" i="121"/>
  <c r="C23" i="121"/>
  <c r="C22" i="121"/>
  <c r="C21" i="121"/>
  <c r="C20" i="121"/>
  <c r="I15" i="121"/>
  <c r="I14" i="121"/>
  <c r="G15" i="121"/>
  <c r="G14" i="121"/>
  <c r="E15" i="121"/>
  <c r="E14" i="121"/>
  <c r="C15" i="121"/>
  <c r="C14" i="121"/>
  <c r="I12" i="121"/>
  <c r="I11" i="121"/>
  <c r="I10" i="121"/>
  <c r="I9" i="121"/>
  <c r="I8" i="121"/>
  <c r="I7" i="121"/>
  <c r="I6" i="121"/>
  <c r="I5" i="121"/>
  <c r="I4" i="121"/>
  <c r="C12" i="121"/>
  <c r="C11" i="121"/>
  <c r="C10" i="121"/>
  <c r="C9" i="121"/>
  <c r="C8" i="121"/>
  <c r="C7" i="121"/>
  <c r="C6" i="121"/>
  <c r="C5" i="121"/>
  <c r="C4" i="121"/>
  <c r="G31" i="120"/>
  <c r="G30" i="120"/>
  <c r="E31" i="120"/>
  <c r="E30" i="120"/>
  <c r="C31" i="120"/>
  <c r="C30" i="120"/>
  <c r="I31" i="120"/>
  <c r="I30" i="120"/>
  <c r="I28" i="120"/>
  <c r="I27" i="120"/>
  <c r="I26" i="120"/>
  <c r="I25" i="120"/>
  <c r="I24" i="120"/>
  <c r="I23" i="120"/>
  <c r="I22" i="120"/>
  <c r="I21" i="120"/>
  <c r="I20" i="120"/>
  <c r="E28" i="120"/>
  <c r="E27" i="120"/>
  <c r="E26" i="120"/>
  <c r="E25" i="120"/>
  <c r="E24" i="120"/>
  <c r="E23" i="120"/>
  <c r="E22" i="120"/>
  <c r="E21" i="120"/>
  <c r="E20" i="120"/>
  <c r="C28" i="120"/>
  <c r="C27" i="120"/>
  <c r="C26" i="120"/>
  <c r="C25" i="120"/>
  <c r="C24" i="120"/>
  <c r="C23" i="120"/>
  <c r="C22" i="120"/>
  <c r="C21" i="120"/>
  <c r="C20" i="120"/>
  <c r="I15" i="120"/>
  <c r="G15" i="120"/>
  <c r="G14" i="120"/>
  <c r="E15" i="120"/>
  <c r="E14" i="120"/>
  <c r="C15" i="120"/>
  <c r="I12" i="120"/>
  <c r="I11" i="120"/>
  <c r="I10" i="120"/>
  <c r="I9" i="120"/>
  <c r="I8" i="120"/>
  <c r="I7" i="120"/>
  <c r="I6" i="120"/>
  <c r="I5" i="120"/>
  <c r="I4" i="120"/>
  <c r="G12" i="120"/>
  <c r="G11" i="120"/>
  <c r="G10" i="120"/>
  <c r="G9" i="120"/>
  <c r="G8" i="120"/>
  <c r="G7" i="120"/>
  <c r="G6" i="120"/>
  <c r="G5" i="120"/>
  <c r="G4" i="120"/>
  <c r="E12" i="120"/>
  <c r="E11" i="120"/>
  <c r="E10" i="120"/>
  <c r="E9" i="120"/>
  <c r="E8" i="120"/>
  <c r="E7" i="120"/>
  <c r="E6" i="120"/>
  <c r="E5" i="120"/>
  <c r="E4" i="120"/>
  <c r="C12" i="120"/>
  <c r="C11" i="120"/>
  <c r="C10" i="120"/>
  <c r="C9" i="120"/>
  <c r="C8" i="120"/>
  <c r="C7" i="120"/>
  <c r="C6" i="120"/>
  <c r="C5" i="120"/>
  <c r="C4" i="120"/>
  <c r="I66" i="114"/>
  <c r="I65" i="114"/>
  <c r="I64" i="114"/>
  <c r="I63" i="114"/>
  <c r="I62" i="114"/>
  <c r="I61" i="114"/>
  <c r="I60" i="114"/>
  <c r="I59" i="114"/>
  <c r="I58" i="114"/>
  <c r="I57" i="114"/>
  <c r="I56" i="114"/>
  <c r="I55" i="114"/>
  <c r="I54" i="114"/>
  <c r="I53" i="114"/>
  <c r="I52" i="114"/>
  <c r="I51" i="114"/>
  <c r="C66" i="114"/>
  <c r="C65" i="114"/>
  <c r="C64" i="114"/>
  <c r="C63" i="114"/>
  <c r="C62" i="114"/>
  <c r="C61" i="114"/>
  <c r="C60" i="114"/>
  <c r="C59" i="114"/>
  <c r="C58" i="114"/>
  <c r="C57" i="114"/>
  <c r="C56" i="114"/>
  <c r="C55" i="114"/>
  <c r="C54" i="114"/>
  <c r="C53" i="114"/>
  <c r="C52" i="114"/>
  <c r="C51" i="114"/>
  <c r="C50" i="114"/>
  <c r="I47" i="114"/>
  <c r="I46" i="114"/>
  <c r="C47" i="114"/>
  <c r="C46" i="114"/>
  <c r="I42" i="114"/>
  <c r="I41" i="114"/>
  <c r="I40" i="114"/>
  <c r="C42" i="114"/>
  <c r="C41" i="114"/>
  <c r="C40" i="114"/>
  <c r="I31" i="114"/>
  <c r="I30" i="114"/>
  <c r="I29" i="114"/>
  <c r="I28" i="114"/>
  <c r="I27" i="114"/>
  <c r="I26" i="114"/>
  <c r="I25" i="114"/>
  <c r="I24" i="114"/>
  <c r="I23" i="114"/>
  <c r="I22" i="114"/>
  <c r="I21" i="114"/>
  <c r="I20" i="114"/>
  <c r="I19" i="114"/>
  <c r="I18" i="114"/>
  <c r="I17" i="114"/>
  <c r="I16" i="114"/>
  <c r="I15" i="114"/>
  <c r="C31" i="114"/>
  <c r="C30" i="114"/>
  <c r="C29" i="114"/>
  <c r="C28" i="114"/>
  <c r="C27" i="114"/>
  <c r="C26" i="114"/>
  <c r="C25" i="114"/>
  <c r="C24" i="114"/>
  <c r="C23" i="114"/>
  <c r="C22" i="114"/>
  <c r="C21" i="114"/>
  <c r="C20" i="114"/>
  <c r="C19" i="114"/>
  <c r="C18" i="114"/>
  <c r="C17" i="114"/>
  <c r="C16" i="114"/>
  <c r="C15" i="114"/>
  <c r="I12" i="114"/>
  <c r="I11" i="114"/>
  <c r="C12" i="114"/>
  <c r="C11" i="114"/>
  <c r="I7" i="114"/>
  <c r="I6" i="114"/>
  <c r="I5" i="114"/>
  <c r="C7" i="114"/>
  <c r="C6" i="114"/>
  <c r="C5" i="114"/>
  <c r="I64" i="113"/>
  <c r="I63" i="113"/>
  <c r="I62" i="113"/>
  <c r="I61" i="113"/>
  <c r="I60" i="113"/>
  <c r="I59" i="113"/>
  <c r="I58" i="113"/>
  <c r="I57" i="113"/>
  <c r="I56" i="113"/>
  <c r="I55" i="113"/>
  <c r="I54" i="113"/>
  <c r="I53" i="113"/>
  <c r="I52" i="113"/>
  <c r="I51" i="113"/>
  <c r="I50" i="113"/>
  <c r="I49" i="113"/>
  <c r="I48" i="113"/>
  <c r="G64" i="113"/>
  <c r="G63" i="113"/>
  <c r="G62" i="113"/>
  <c r="G61" i="113"/>
  <c r="G60" i="113"/>
  <c r="G59" i="113"/>
  <c r="G58" i="113"/>
  <c r="G57" i="113"/>
  <c r="G56" i="113"/>
  <c r="G55" i="113"/>
  <c r="G54" i="113"/>
  <c r="G53" i="113"/>
  <c r="G52" i="113"/>
  <c r="G51" i="113"/>
  <c r="G50" i="113"/>
  <c r="G49" i="113"/>
  <c r="G48" i="113"/>
  <c r="E64" i="113"/>
  <c r="E63" i="113"/>
  <c r="E62" i="113"/>
  <c r="E61" i="113"/>
  <c r="E60" i="113"/>
  <c r="E59" i="113"/>
  <c r="E58" i="113"/>
  <c r="E57" i="113"/>
  <c r="E56" i="113"/>
  <c r="E55" i="113"/>
  <c r="E54" i="113"/>
  <c r="E53" i="113"/>
  <c r="E52" i="113"/>
  <c r="E51" i="113"/>
  <c r="E50" i="113"/>
  <c r="E49" i="113"/>
  <c r="E48" i="113"/>
  <c r="C64" i="113"/>
  <c r="C63" i="113"/>
  <c r="C62" i="113"/>
  <c r="C61" i="113"/>
  <c r="C60" i="113"/>
  <c r="C59" i="113"/>
  <c r="C58" i="113"/>
  <c r="C57" i="113"/>
  <c r="C56" i="113"/>
  <c r="C55" i="113"/>
  <c r="C54" i="113"/>
  <c r="C53" i="113"/>
  <c r="C52" i="113"/>
  <c r="C51" i="113"/>
  <c r="C50" i="113"/>
  <c r="C49" i="113"/>
  <c r="C48" i="113"/>
  <c r="I45" i="113"/>
  <c r="I44" i="113"/>
  <c r="G45" i="113"/>
  <c r="G44" i="113"/>
  <c r="C45" i="113"/>
  <c r="C44" i="113"/>
  <c r="I40" i="113"/>
  <c r="I39" i="113"/>
  <c r="I38" i="113"/>
  <c r="G40" i="113"/>
  <c r="G39" i="113"/>
  <c r="G38" i="113"/>
  <c r="E40" i="113"/>
  <c r="E39" i="113"/>
  <c r="E38" i="113"/>
  <c r="C40" i="113"/>
  <c r="C39" i="113"/>
  <c r="C38" i="113"/>
  <c r="I30" i="113"/>
  <c r="I29" i="113"/>
  <c r="I28" i="113"/>
  <c r="I27" i="113"/>
  <c r="I26" i="113"/>
  <c r="I25" i="113"/>
  <c r="I24" i="113"/>
  <c r="I23" i="113"/>
  <c r="I22" i="113"/>
  <c r="I21" i="113"/>
  <c r="I20" i="113"/>
  <c r="I19" i="113"/>
  <c r="I18" i="113"/>
  <c r="I17" i="113"/>
  <c r="I16" i="113"/>
  <c r="I15" i="113"/>
  <c r="I14" i="113"/>
  <c r="G30" i="113"/>
  <c r="G29" i="113"/>
  <c r="G28" i="113"/>
  <c r="G27" i="113"/>
  <c r="G26" i="113"/>
  <c r="G25" i="113"/>
  <c r="G24" i="113"/>
  <c r="G23" i="113"/>
  <c r="G22" i="113"/>
  <c r="G21" i="113"/>
  <c r="G20" i="113"/>
  <c r="G19" i="113"/>
  <c r="G18" i="113"/>
  <c r="G17" i="113"/>
  <c r="G16" i="113"/>
  <c r="G15" i="113"/>
  <c r="G14" i="113"/>
  <c r="E30" i="113"/>
  <c r="E29" i="113"/>
  <c r="E28" i="113"/>
  <c r="E27" i="113"/>
  <c r="E26" i="113"/>
  <c r="E25" i="113"/>
  <c r="E24" i="113"/>
  <c r="E23" i="113"/>
  <c r="E22" i="113"/>
  <c r="E21" i="113"/>
  <c r="E20" i="113"/>
  <c r="E19" i="113"/>
  <c r="E18" i="113"/>
  <c r="E17" i="113"/>
  <c r="E16" i="113"/>
  <c r="E15" i="113"/>
  <c r="E14" i="113"/>
  <c r="C30" i="113"/>
  <c r="C29" i="113"/>
  <c r="C28" i="113"/>
  <c r="C27" i="113"/>
  <c r="C26" i="113"/>
  <c r="C25" i="113"/>
  <c r="C24" i="113"/>
  <c r="C23" i="113"/>
  <c r="C22" i="113"/>
  <c r="C21" i="113"/>
  <c r="C20" i="113"/>
  <c r="C19" i="113"/>
  <c r="C18" i="113"/>
  <c r="C17" i="113"/>
  <c r="C16" i="113"/>
  <c r="C15" i="113"/>
  <c r="C14" i="113"/>
  <c r="I11" i="113"/>
  <c r="I10" i="113"/>
  <c r="G11" i="113"/>
  <c r="G10" i="113"/>
  <c r="C11" i="113"/>
  <c r="C10" i="113"/>
  <c r="I6" i="113"/>
  <c r="I5" i="113"/>
  <c r="I4" i="113"/>
  <c r="G6" i="113"/>
  <c r="G5" i="113"/>
  <c r="G4" i="113"/>
  <c r="E6" i="113"/>
  <c r="E5" i="113"/>
  <c r="E4" i="113"/>
  <c r="C6" i="113"/>
  <c r="C5" i="113"/>
  <c r="C4" i="113"/>
  <c r="G28" i="121"/>
  <c r="G27" i="121"/>
  <c r="G26" i="121"/>
  <c r="G25" i="121"/>
  <c r="G24" i="121"/>
  <c r="G23" i="121"/>
  <c r="G22" i="121"/>
  <c r="G21" i="121"/>
  <c r="E11" i="114"/>
  <c r="K51" i="113" l="1"/>
  <c r="K53" i="113"/>
  <c r="K30" i="113"/>
  <c r="K50" i="113"/>
  <c r="K58" i="113"/>
  <c r="K59" i="113"/>
  <c r="K61" i="113"/>
  <c r="K4" i="120"/>
  <c r="C13" i="120"/>
  <c r="K5" i="120"/>
  <c r="E13" i="120"/>
  <c r="G13" i="120"/>
  <c r="I13" i="120"/>
  <c r="D33" i="113"/>
  <c r="L67" i="156" s="1"/>
  <c r="D31" i="113"/>
  <c r="L65" i="156" s="1"/>
  <c r="D32" i="113"/>
  <c r="L66" i="156" s="1"/>
  <c r="H67" i="113"/>
  <c r="N67" i="174" s="1"/>
  <c r="H65" i="113"/>
  <c r="N65" i="174" s="1"/>
  <c r="H66" i="113"/>
  <c r="N66" i="174" s="1"/>
  <c r="K52" i="113"/>
  <c r="K60" i="113"/>
  <c r="J33" i="114"/>
  <c r="J32" i="114"/>
  <c r="J34" i="114"/>
  <c r="D66" i="113"/>
  <c r="L66" i="174" s="1"/>
  <c r="D67" i="113"/>
  <c r="L67" i="174" s="1"/>
  <c r="D65" i="113"/>
  <c r="L65" i="174" s="1"/>
  <c r="H31" i="113"/>
  <c r="N65" i="156" s="1"/>
  <c r="H33" i="113"/>
  <c r="N67" i="156" s="1"/>
  <c r="H32" i="113"/>
  <c r="N66" i="156" s="1"/>
  <c r="J66" i="113"/>
  <c r="O66" i="174" s="1"/>
  <c r="J67" i="113"/>
  <c r="O67" i="174" s="1"/>
  <c r="J65" i="113"/>
  <c r="O65" i="174" s="1"/>
  <c r="K54" i="113"/>
  <c r="K62" i="113"/>
  <c r="K55" i="113"/>
  <c r="K63" i="113"/>
  <c r="J31" i="113"/>
  <c r="O65" i="156" s="1"/>
  <c r="J32" i="113"/>
  <c r="O66" i="156" s="1"/>
  <c r="J33" i="113"/>
  <c r="O67" i="156" s="1"/>
  <c r="K48" i="113"/>
  <c r="K47" i="113"/>
  <c r="K56" i="113"/>
  <c r="K64" i="113"/>
  <c r="D33" i="114"/>
  <c r="D32" i="114"/>
  <c r="D34" i="114"/>
  <c r="F34" i="114"/>
  <c r="F32" i="114"/>
  <c r="F33" i="114"/>
  <c r="K49" i="113"/>
  <c r="K57" i="113"/>
  <c r="J68" i="114"/>
  <c r="J67" i="114"/>
  <c r="J69" i="114"/>
  <c r="D67" i="114"/>
  <c r="D68" i="114"/>
  <c r="D69" i="114"/>
  <c r="K20" i="123"/>
  <c r="I14" i="122"/>
  <c r="J14" i="122" s="1"/>
  <c r="I29" i="121"/>
  <c r="J20" i="121" s="1"/>
  <c r="E50" i="114"/>
  <c r="G50" i="114"/>
  <c r="E51" i="114"/>
  <c r="G51" i="114"/>
  <c r="E52" i="114"/>
  <c r="G52" i="114"/>
  <c r="E53" i="114"/>
  <c r="G53" i="114"/>
  <c r="E54" i="114"/>
  <c r="G54" i="114"/>
  <c r="E55" i="114"/>
  <c r="G55" i="114"/>
  <c r="E56" i="114"/>
  <c r="G56" i="114"/>
  <c r="E57" i="114"/>
  <c r="G57" i="114"/>
  <c r="E58" i="114"/>
  <c r="G58" i="114"/>
  <c r="E59" i="114"/>
  <c r="G59" i="114"/>
  <c r="E60" i="114"/>
  <c r="G60" i="114"/>
  <c r="E61" i="114"/>
  <c r="G61" i="114"/>
  <c r="E62" i="114"/>
  <c r="G62" i="114"/>
  <c r="E63" i="114"/>
  <c r="G63" i="114"/>
  <c r="E64" i="114"/>
  <c r="G64" i="114"/>
  <c r="E65" i="114"/>
  <c r="G65" i="114"/>
  <c r="E66" i="114"/>
  <c r="G66" i="114"/>
  <c r="E46" i="114"/>
  <c r="G46" i="114"/>
  <c r="E47" i="114"/>
  <c r="G47" i="114"/>
  <c r="E40" i="114"/>
  <c r="G40" i="114"/>
  <c r="E41" i="114"/>
  <c r="G41" i="114"/>
  <c r="E42" i="114"/>
  <c r="G42" i="114"/>
  <c r="E15" i="114"/>
  <c r="F15" i="114" s="1"/>
  <c r="G15" i="114"/>
  <c r="E16" i="114"/>
  <c r="G16" i="114"/>
  <c r="E17" i="114"/>
  <c r="G17" i="114"/>
  <c r="E18" i="114"/>
  <c r="G18" i="114"/>
  <c r="E19" i="114"/>
  <c r="G19" i="114"/>
  <c r="E20" i="114"/>
  <c r="G20" i="114"/>
  <c r="E21" i="114"/>
  <c r="G21" i="114"/>
  <c r="E22" i="114"/>
  <c r="G22" i="114"/>
  <c r="E23" i="114"/>
  <c r="G23" i="114"/>
  <c r="E24" i="114"/>
  <c r="G24" i="114"/>
  <c r="E25" i="114"/>
  <c r="G25" i="114"/>
  <c r="E26" i="114"/>
  <c r="G26" i="114"/>
  <c r="E27" i="114"/>
  <c r="G27" i="114"/>
  <c r="E28" i="114"/>
  <c r="G28" i="114"/>
  <c r="E29" i="114"/>
  <c r="G29" i="114"/>
  <c r="E30" i="114"/>
  <c r="G30" i="114"/>
  <c r="E31" i="114"/>
  <c r="G31" i="114"/>
  <c r="G11" i="114"/>
  <c r="E12" i="114"/>
  <c r="G12" i="114"/>
  <c r="G5" i="114"/>
  <c r="G6" i="114"/>
  <c r="G7" i="114"/>
  <c r="J49" i="113"/>
  <c r="O49" i="174" s="1"/>
  <c r="J45" i="113"/>
  <c r="J15" i="113"/>
  <c r="O49" i="156" s="1"/>
  <c r="J11" i="113"/>
  <c r="C7" i="113"/>
  <c r="I41" i="113"/>
  <c r="J38" i="113" s="1"/>
  <c r="K18" i="114" l="1"/>
  <c r="K66" i="114"/>
  <c r="K28" i="114"/>
  <c r="K62" i="114"/>
  <c r="K26" i="114"/>
  <c r="K17" i="114"/>
  <c r="K60" i="114"/>
  <c r="K22" i="114"/>
  <c r="K59" i="114"/>
  <c r="K19" i="114"/>
  <c r="K23" i="114"/>
  <c r="K52" i="114"/>
  <c r="K58" i="114"/>
  <c r="K54" i="114"/>
  <c r="K48" i="114"/>
  <c r="K27" i="114"/>
  <c r="K64" i="114"/>
  <c r="K25" i="114"/>
  <c r="K31" i="114"/>
  <c r="K56" i="114"/>
  <c r="K30" i="114"/>
  <c r="K29" i="114"/>
  <c r="K21" i="114"/>
  <c r="K24" i="114"/>
  <c r="K20" i="114"/>
  <c r="K16" i="114"/>
  <c r="K65" i="114"/>
  <c r="K61" i="114"/>
  <c r="K57" i="114"/>
  <c r="K63" i="114"/>
  <c r="K55" i="114"/>
  <c r="K51" i="114"/>
  <c r="K15" i="114"/>
  <c r="H34" i="114"/>
  <c r="H33" i="114"/>
  <c r="H32" i="114"/>
  <c r="K53" i="114"/>
  <c r="K39" i="114"/>
  <c r="K50" i="114"/>
  <c r="F52" i="114"/>
  <c r="F68" i="114"/>
  <c r="F69" i="114"/>
  <c r="F67" i="114"/>
  <c r="H68" i="114"/>
  <c r="H69" i="114"/>
  <c r="H67" i="114"/>
  <c r="G8" i="114"/>
  <c r="H5" i="114" s="1"/>
  <c r="J16" i="122"/>
  <c r="J31" i="121"/>
  <c r="K4" i="123"/>
  <c r="K5" i="122"/>
  <c r="K13" i="122"/>
  <c r="K26" i="121"/>
  <c r="K20" i="121"/>
  <c r="K10" i="121"/>
  <c r="K20" i="120"/>
  <c r="K6" i="120"/>
  <c r="F46" i="114"/>
  <c r="F11" i="114"/>
  <c r="J52" i="113"/>
  <c r="O52" i="174" s="1"/>
  <c r="J50" i="113"/>
  <c r="O50" i="174" s="1"/>
  <c r="H57" i="113"/>
  <c r="N57" i="174" s="1"/>
  <c r="H55" i="113"/>
  <c r="N55" i="174" s="1"/>
  <c r="H21" i="113"/>
  <c r="N55" i="156" s="1"/>
  <c r="E13" i="123"/>
  <c r="F4" i="123" s="1"/>
  <c r="E31" i="122"/>
  <c r="F31" i="122" s="1"/>
  <c r="K22" i="122"/>
  <c r="I31" i="122"/>
  <c r="J31" i="122" s="1"/>
  <c r="K26" i="122"/>
  <c r="K24" i="122"/>
  <c r="K11" i="122"/>
  <c r="K7" i="122"/>
  <c r="E14" i="122"/>
  <c r="F14" i="122" s="1"/>
  <c r="K9" i="122"/>
  <c r="K22" i="121"/>
  <c r="K21" i="121"/>
  <c r="K24" i="121"/>
  <c r="I13" i="121"/>
  <c r="J4" i="121" s="1"/>
  <c r="K4" i="121"/>
  <c r="K8" i="121"/>
  <c r="K6" i="121"/>
  <c r="K24" i="120"/>
  <c r="K22" i="120"/>
  <c r="F22" i="114"/>
  <c r="F65" i="114"/>
  <c r="F61" i="114"/>
  <c r="F55" i="114"/>
  <c r="I43" i="114"/>
  <c r="J41" i="114" s="1"/>
  <c r="F18" i="114"/>
  <c r="F30" i="114"/>
  <c r="F26" i="114"/>
  <c r="J63" i="114"/>
  <c r="J59" i="114"/>
  <c r="J51" i="114"/>
  <c r="J66" i="114"/>
  <c r="F64" i="114"/>
  <c r="J62" i="114"/>
  <c r="F60" i="114"/>
  <c r="J58" i="114"/>
  <c r="J57" i="114"/>
  <c r="F53" i="114"/>
  <c r="J50" i="114"/>
  <c r="J52" i="114"/>
  <c r="J65" i="114"/>
  <c r="F63" i="114"/>
  <c r="J61" i="114"/>
  <c r="F59" i="114"/>
  <c r="J56" i="114"/>
  <c r="J55" i="114"/>
  <c r="F51" i="114"/>
  <c r="F66" i="114"/>
  <c r="J64" i="114"/>
  <c r="F62" i="114"/>
  <c r="J60" i="114"/>
  <c r="F57" i="114"/>
  <c r="J54" i="114"/>
  <c r="J53" i="114"/>
  <c r="F50" i="114"/>
  <c r="F47" i="114"/>
  <c r="J47" i="114"/>
  <c r="J46" i="114"/>
  <c r="J24" i="114"/>
  <c r="J20" i="114"/>
  <c r="J31" i="114"/>
  <c r="F29" i="114"/>
  <c r="J27" i="114"/>
  <c r="F25" i="114"/>
  <c r="J23" i="114"/>
  <c r="F21" i="114"/>
  <c r="J19" i="114"/>
  <c r="F17" i="114"/>
  <c r="J15" i="114"/>
  <c r="J28" i="114"/>
  <c r="J16" i="114"/>
  <c r="J30" i="114"/>
  <c r="F28" i="114"/>
  <c r="J26" i="114"/>
  <c r="F24" i="114"/>
  <c r="J22" i="114"/>
  <c r="F20" i="114"/>
  <c r="J18" i="114"/>
  <c r="F16" i="114"/>
  <c r="F31" i="114"/>
  <c r="J29" i="114"/>
  <c r="F27" i="114"/>
  <c r="J25" i="114"/>
  <c r="F23" i="114"/>
  <c r="J21" i="114"/>
  <c r="F19" i="114"/>
  <c r="J17" i="114"/>
  <c r="F12" i="114"/>
  <c r="E8" i="114"/>
  <c r="F6" i="114" s="1"/>
  <c r="I8" i="114"/>
  <c r="J5" i="114" s="1"/>
  <c r="J12" i="114"/>
  <c r="J11" i="114"/>
  <c r="J64" i="113"/>
  <c r="O64" i="174" s="1"/>
  <c r="J62" i="113"/>
  <c r="O62" i="174" s="1"/>
  <c r="H53" i="113"/>
  <c r="N53" i="174" s="1"/>
  <c r="H51" i="113"/>
  <c r="N51" i="174" s="1"/>
  <c r="J48" i="113"/>
  <c r="O48" i="174" s="1"/>
  <c r="H63" i="113"/>
  <c r="N63" i="174" s="1"/>
  <c r="J60" i="113"/>
  <c r="O60" i="174" s="1"/>
  <c r="J58" i="113"/>
  <c r="O58" i="174" s="1"/>
  <c r="H49" i="113"/>
  <c r="N49" i="174" s="1"/>
  <c r="H61" i="113"/>
  <c r="N61" i="174" s="1"/>
  <c r="H59" i="113"/>
  <c r="N59" i="174" s="1"/>
  <c r="J56" i="113"/>
  <c r="O56" i="174" s="1"/>
  <c r="J54" i="113"/>
  <c r="O54" i="174" s="1"/>
  <c r="F48" i="113"/>
  <c r="M48" i="174" s="1"/>
  <c r="D64" i="113"/>
  <c r="L64" i="174" s="1"/>
  <c r="F63" i="113"/>
  <c r="M63" i="174" s="1"/>
  <c r="D62" i="113"/>
  <c r="L62" i="174" s="1"/>
  <c r="F61" i="113"/>
  <c r="M61" i="174" s="1"/>
  <c r="D60" i="113"/>
  <c r="L60" i="174" s="1"/>
  <c r="F59" i="113"/>
  <c r="M59" i="174" s="1"/>
  <c r="D58" i="113"/>
  <c r="L58" i="174" s="1"/>
  <c r="F57" i="113"/>
  <c r="M57" i="174" s="1"/>
  <c r="D56" i="113"/>
  <c r="L56" i="174" s="1"/>
  <c r="F55" i="113"/>
  <c r="M55" i="174" s="1"/>
  <c r="D54" i="113"/>
  <c r="L54" i="174" s="1"/>
  <c r="F53" i="113"/>
  <c r="M53" i="174" s="1"/>
  <c r="D52" i="113"/>
  <c r="L52" i="174" s="1"/>
  <c r="F51" i="113"/>
  <c r="M51" i="174" s="1"/>
  <c r="D50" i="113"/>
  <c r="L50" i="174" s="1"/>
  <c r="F49" i="113"/>
  <c r="M49" i="174" s="1"/>
  <c r="D48" i="113"/>
  <c r="L48" i="174" s="1"/>
  <c r="H64" i="113"/>
  <c r="N64" i="174" s="1"/>
  <c r="J63" i="113"/>
  <c r="O63" i="174" s="1"/>
  <c r="H62" i="113"/>
  <c r="N62" i="174" s="1"/>
  <c r="J61" i="113"/>
  <c r="O61" i="174" s="1"/>
  <c r="H60" i="113"/>
  <c r="N60" i="174" s="1"/>
  <c r="J59" i="113"/>
  <c r="O59" i="174" s="1"/>
  <c r="H58" i="113"/>
  <c r="N58" i="174" s="1"/>
  <c r="J57" i="113"/>
  <c r="O57" i="174" s="1"/>
  <c r="H56" i="113"/>
  <c r="N56" i="174" s="1"/>
  <c r="J55" i="113"/>
  <c r="O55" i="174" s="1"/>
  <c r="H54" i="113"/>
  <c r="N54" i="174" s="1"/>
  <c r="J53" i="113"/>
  <c r="O53" i="174" s="1"/>
  <c r="H52" i="113"/>
  <c r="N52" i="174" s="1"/>
  <c r="J51" i="113"/>
  <c r="O51" i="174" s="1"/>
  <c r="H50" i="113"/>
  <c r="N50" i="174" s="1"/>
  <c r="H48" i="113"/>
  <c r="N48" i="174" s="1"/>
  <c r="F44" i="113"/>
  <c r="F64" i="113"/>
  <c r="M64" i="174" s="1"/>
  <c r="D63" i="113"/>
  <c r="L63" i="174" s="1"/>
  <c r="F62" i="113"/>
  <c r="M62" i="174" s="1"/>
  <c r="D61" i="113"/>
  <c r="L61" i="174" s="1"/>
  <c r="F60" i="113"/>
  <c r="M60" i="174" s="1"/>
  <c r="D59" i="113"/>
  <c r="L59" i="174" s="1"/>
  <c r="F58" i="113"/>
  <c r="M58" i="174" s="1"/>
  <c r="D57" i="113"/>
  <c r="L57" i="174" s="1"/>
  <c r="F56" i="113"/>
  <c r="M56" i="174" s="1"/>
  <c r="D55" i="113"/>
  <c r="L55" i="174" s="1"/>
  <c r="F54" i="113"/>
  <c r="M54" i="174" s="1"/>
  <c r="D53" i="113"/>
  <c r="L53" i="174" s="1"/>
  <c r="F52" i="113"/>
  <c r="M52" i="174" s="1"/>
  <c r="D51" i="113"/>
  <c r="L51" i="174" s="1"/>
  <c r="F50" i="113"/>
  <c r="M50" i="174" s="1"/>
  <c r="D49" i="113"/>
  <c r="L49" i="174" s="1"/>
  <c r="H45" i="113"/>
  <c r="J44" i="113"/>
  <c r="F45" i="113"/>
  <c r="D44" i="113"/>
  <c r="J40" i="113"/>
  <c r="J39" i="113"/>
  <c r="H44" i="113"/>
  <c r="D45" i="113"/>
  <c r="J28" i="113"/>
  <c r="O62" i="156" s="1"/>
  <c r="J16" i="113"/>
  <c r="O50" i="156" s="1"/>
  <c r="H29" i="113"/>
  <c r="N63" i="156" s="1"/>
  <c r="J26" i="113"/>
  <c r="O60" i="156" s="1"/>
  <c r="J24" i="113"/>
  <c r="O58" i="156" s="1"/>
  <c r="H19" i="113"/>
  <c r="N53" i="156" s="1"/>
  <c r="H17" i="113"/>
  <c r="N51" i="156" s="1"/>
  <c r="J14" i="113"/>
  <c r="O48" i="156" s="1"/>
  <c r="H27" i="113"/>
  <c r="N61" i="156" s="1"/>
  <c r="H25" i="113"/>
  <c r="N59" i="156" s="1"/>
  <c r="J22" i="113"/>
  <c r="O56" i="156" s="1"/>
  <c r="H15" i="113"/>
  <c r="N49" i="156" s="1"/>
  <c r="J30" i="113"/>
  <c r="O64" i="156" s="1"/>
  <c r="J18" i="113"/>
  <c r="O52" i="156" s="1"/>
  <c r="H23" i="113"/>
  <c r="N57" i="156" s="1"/>
  <c r="J20" i="113"/>
  <c r="O54" i="156" s="1"/>
  <c r="F14" i="113"/>
  <c r="M48" i="156" s="1"/>
  <c r="D30" i="113"/>
  <c r="L64" i="156" s="1"/>
  <c r="F29" i="113"/>
  <c r="M63" i="156" s="1"/>
  <c r="D28" i="113"/>
  <c r="L62" i="156" s="1"/>
  <c r="F27" i="113"/>
  <c r="M61" i="156" s="1"/>
  <c r="D26" i="113"/>
  <c r="L60" i="156" s="1"/>
  <c r="F25" i="113"/>
  <c r="M59" i="156" s="1"/>
  <c r="D24" i="113"/>
  <c r="L58" i="156" s="1"/>
  <c r="F23" i="113"/>
  <c r="M57" i="156" s="1"/>
  <c r="D22" i="113"/>
  <c r="L56" i="156" s="1"/>
  <c r="F21" i="113"/>
  <c r="M55" i="156" s="1"/>
  <c r="D20" i="113"/>
  <c r="L54" i="156" s="1"/>
  <c r="F19" i="113"/>
  <c r="M53" i="156" s="1"/>
  <c r="D18" i="113"/>
  <c r="L52" i="156" s="1"/>
  <c r="F17" i="113"/>
  <c r="M51" i="156" s="1"/>
  <c r="D16" i="113"/>
  <c r="L50" i="156" s="1"/>
  <c r="F15" i="113"/>
  <c r="M49" i="156" s="1"/>
  <c r="D14" i="113"/>
  <c r="L48" i="156" s="1"/>
  <c r="H30" i="113"/>
  <c r="N64" i="156" s="1"/>
  <c r="J29" i="113"/>
  <c r="O63" i="156" s="1"/>
  <c r="H28" i="113"/>
  <c r="N62" i="156" s="1"/>
  <c r="J27" i="113"/>
  <c r="O61" i="156" s="1"/>
  <c r="H26" i="113"/>
  <c r="N60" i="156" s="1"/>
  <c r="J25" i="113"/>
  <c r="O59" i="156" s="1"/>
  <c r="H24" i="113"/>
  <c r="N58" i="156" s="1"/>
  <c r="J23" i="113"/>
  <c r="O57" i="156" s="1"/>
  <c r="H22" i="113"/>
  <c r="N56" i="156" s="1"/>
  <c r="J21" i="113"/>
  <c r="O55" i="156" s="1"/>
  <c r="H20" i="113"/>
  <c r="N54" i="156" s="1"/>
  <c r="J19" i="113"/>
  <c r="O53" i="156" s="1"/>
  <c r="H18" i="113"/>
  <c r="N52" i="156" s="1"/>
  <c r="J17" i="113"/>
  <c r="O51" i="156" s="1"/>
  <c r="H16" i="113"/>
  <c r="N50" i="156" s="1"/>
  <c r="H14" i="113"/>
  <c r="N48" i="156" s="1"/>
  <c r="F30" i="113"/>
  <c r="M64" i="156" s="1"/>
  <c r="D29" i="113"/>
  <c r="L63" i="156" s="1"/>
  <c r="F28" i="113"/>
  <c r="M62" i="156" s="1"/>
  <c r="D27" i="113"/>
  <c r="L61" i="156" s="1"/>
  <c r="F26" i="113"/>
  <c r="M60" i="156" s="1"/>
  <c r="D25" i="113"/>
  <c r="L59" i="156" s="1"/>
  <c r="F24" i="113"/>
  <c r="M58" i="156" s="1"/>
  <c r="D23" i="113"/>
  <c r="L57" i="156" s="1"/>
  <c r="F22" i="113"/>
  <c r="M56" i="156" s="1"/>
  <c r="D21" i="113"/>
  <c r="L55" i="156" s="1"/>
  <c r="F20" i="113"/>
  <c r="M54" i="156" s="1"/>
  <c r="D19" i="113"/>
  <c r="L53" i="156" s="1"/>
  <c r="F18" i="113"/>
  <c r="M52" i="156" s="1"/>
  <c r="D17" i="113"/>
  <c r="L51" i="156" s="1"/>
  <c r="F16" i="113"/>
  <c r="M50" i="156" s="1"/>
  <c r="D15" i="113"/>
  <c r="L49" i="156" s="1"/>
  <c r="J10" i="113"/>
  <c r="H11" i="113"/>
  <c r="E7" i="113"/>
  <c r="F5" i="113" s="1"/>
  <c r="D6" i="113"/>
  <c r="D5" i="113"/>
  <c r="D4" i="113"/>
  <c r="F11" i="113"/>
  <c r="D10" i="113"/>
  <c r="H10" i="113"/>
  <c r="D11" i="113"/>
  <c r="F10" i="113"/>
  <c r="D11" i="114"/>
  <c r="D27" i="114"/>
  <c r="D21" i="114"/>
  <c r="D19" i="114"/>
  <c r="D46" i="114"/>
  <c r="D66" i="114"/>
  <c r="D56" i="114"/>
  <c r="D54" i="114"/>
  <c r="D52" i="114"/>
  <c r="D50" i="114"/>
  <c r="H11" i="114"/>
  <c r="H31" i="114"/>
  <c r="H29" i="114"/>
  <c r="H27" i="114"/>
  <c r="H25" i="114"/>
  <c r="H23" i="114"/>
  <c r="H21" i="114"/>
  <c r="H19" i="114"/>
  <c r="H17" i="114"/>
  <c r="H15" i="114"/>
  <c r="H46" i="114"/>
  <c r="H66" i="114"/>
  <c r="H64" i="114"/>
  <c r="H62" i="114"/>
  <c r="H60" i="114"/>
  <c r="H58" i="114"/>
  <c r="H56" i="114"/>
  <c r="H54" i="114"/>
  <c r="H52" i="114"/>
  <c r="H50" i="114"/>
  <c r="D25" i="114"/>
  <c r="D15" i="114"/>
  <c r="D64" i="114"/>
  <c r="D62" i="114"/>
  <c r="D58" i="114"/>
  <c r="C43" i="114"/>
  <c r="H6" i="114"/>
  <c r="D30" i="114"/>
  <c r="D28" i="114"/>
  <c r="D24" i="114"/>
  <c r="D20" i="114"/>
  <c r="D18" i="114"/>
  <c r="D16" i="114"/>
  <c r="D47" i="114"/>
  <c r="D65" i="114"/>
  <c r="D63" i="114"/>
  <c r="D61" i="114"/>
  <c r="D59" i="114"/>
  <c r="F58" i="114"/>
  <c r="D57" i="114"/>
  <c r="F56" i="114"/>
  <c r="D55" i="114"/>
  <c r="F54" i="114"/>
  <c r="D53" i="114"/>
  <c r="D51" i="114"/>
  <c r="D31" i="114"/>
  <c r="D29" i="114"/>
  <c r="D23" i="114"/>
  <c r="D17" i="114"/>
  <c r="D60" i="114"/>
  <c r="C8" i="114"/>
  <c r="D6" i="114" s="1"/>
  <c r="H7" i="114"/>
  <c r="D12" i="114"/>
  <c r="D26" i="114"/>
  <c r="D22" i="114"/>
  <c r="H12" i="114"/>
  <c r="H30" i="114"/>
  <c r="H28" i="114"/>
  <c r="H26" i="114"/>
  <c r="H24" i="114"/>
  <c r="H22" i="114"/>
  <c r="H20" i="114"/>
  <c r="H18" i="114"/>
  <c r="H16" i="114"/>
  <c r="H47" i="114"/>
  <c r="H65" i="114"/>
  <c r="H63" i="114"/>
  <c r="H61" i="114"/>
  <c r="H59" i="114"/>
  <c r="H57" i="114"/>
  <c r="H55" i="114"/>
  <c r="H53" i="114"/>
  <c r="H51" i="114"/>
  <c r="K14" i="120"/>
  <c r="K30" i="120"/>
  <c r="K30" i="121"/>
  <c r="E29" i="121"/>
  <c r="F20" i="121" s="1"/>
  <c r="J21" i="121"/>
  <c r="J23" i="121"/>
  <c r="K5" i="121"/>
  <c r="J27" i="121"/>
  <c r="E13" i="121"/>
  <c r="F4" i="121" s="1"/>
  <c r="K12" i="121"/>
  <c r="K28" i="121"/>
  <c r="J25" i="121"/>
  <c r="J8" i="122"/>
  <c r="J10" i="122"/>
  <c r="J6" i="122"/>
  <c r="K23" i="122"/>
  <c r="J12" i="122"/>
  <c r="K30" i="123"/>
  <c r="K6" i="123"/>
  <c r="K24" i="123"/>
  <c r="K22" i="123"/>
  <c r="K8" i="123"/>
  <c r="K26" i="123"/>
  <c r="K14" i="123"/>
  <c r="I13" i="123"/>
  <c r="J10" i="123" s="1"/>
  <c r="I29" i="123"/>
  <c r="J26" i="123" s="1"/>
  <c r="E29" i="123"/>
  <c r="F20" i="123" s="1"/>
  <c r="K28" i="123"/>
  <c r="K31" i="123"/>
  <c r="K27" i="123"/>
  <c r="K23" i="123"/>
  <c r="G29" i="123"/>
  <c r="H30" i="123" s="1"/>
  <c r="C29" i="123"/>
  <c r="D26" i="123" s="1"/>
  <c r="K25" i="123"/>
  <c r="K21" i="123"/>
  <c r="K10" i="123"/>
  <c r="G13" i="123"/>
  <c r="H4" i="123" s="1"/>
  <c r="C13" i="123"/>
  <c r="D4" i="123" s="1"/>
  <c r="K9" i="123"/>
  <c r="K5" i="123"/>
  <c r="K12" i="123"/>
  <c r="K15" i="123"/>
  <c r="K11" i="123"/>
  <c r="K7" i="123"/>
  <c r="K30" i="122"/>
  <c r="C31" i="122"/>
  <c r="K27" i="122"/>
  <c r="K32" i="122"/>
  <c r="K28" i="122"/>
  <c r="K33" i="122"/>
  <c r="G31" i="122"/>
  <c r="H30" i="122" s="1"/>
  <c r="K29" i="122"/>
  <c r="K25" i="122"/>
  <c r="K15" i="122"/>
  <c r="J15" i="122"/>
  <c r="J13" i="122"/>
  <c r="J11" i="122"/>
  <c r="C14" i="122"/>
  <c r="D11" i="122" s="1"/>
  <c r="K12" i="122"/>
  <c r="K8" i="122"/>
  <c r="K6" i="122"/>
  <c r="J9" i="122"/>
  <c r="J7" i="122"/>
  <c r="J5" i="122"/>
  <c r="K16" i="122"/>
  <c r="G14" i="122"/>
  <c r="H7" i="122" s="1"/>
  <c r="K10" i="122"/>
  <c r="G29" i="121"/>
  <c r="H24" i="121" s="1"/>
  <c r="C29" i="121"/>
  <c r="D22" i="121" s="1"/>
  <c r="K25" i="121"/>
  <c r="J30" i="121"/>
  <c r="J28" i="121"/>
  <c r="J26" i="121"/>
  <c r="J24" i="121"/>
  <c r="J22" i="121"/>
  <c r="K31" i="121"/>
  <c r="K27" i="121"/>
  <c r="K23" i="121"/>
  <c r="G13" i="121"/>
  <c r="H6" i="121" s="1"/>
  <c r="C13" i="121"/>
  <c r="K9" i="121"/>
  <c r="K7" i="121"/>
  <c r="K14" i="121"/>
  <c r="K15" i="121"/>
  <c r="K11" i="121"/>
  <c r="K31" i="120"/>
  <c r="K28" i="120"/>
  <c r="K25" i="120"/>
  <c r="K21" i="120"/>
  <c r="K26" i="120"/>
  <c r="K27" i="120"/>
  <c r="K23" i="120"/>
  <c r="K15" i="120"/>
  <c r="K8" i="120"/>
  <c r="K9" i="120"/>
  <c r="K12" i="120"/>
  <c r="K10" i="120"/>
  <c r="K11" i="120"/>
  <c r="K7" i="120"/>
  <c r="E43" i="114"/>
  <c r="F41" i="114" s="1"/>
  <c r="G43" i="114"/>
  <c r="H42" i="114" s="1"/>
  <c r="C41" i="113"/>
  <c r="D40" i="113" s="1"/>
  <c r="I7" i="113"/>
  <c r="J6" i="113" s="1"/>
  <c r="G41" i="113"/>
  <c r="H40" i="113" s="1"/>
  <c r="G7" i="113"/>
  <c r="H6" i="113" s="1"/>
  <c r="E41" i="113"/>
  <c r="F38" i="113" s="1"/>
  <c r="I40" i="85"/>
  <c r="I37" i="85"/>
  <c r="I36" i="85"/>
  <c r="I35" i="85"/>
  <c r="I34" i="85"/>
  <c r="I33" i="85"/>
  <c r="I32" i="85"/>
  <c r="I31" i="85"/>
  <c r="I30" i="85"/>
  <c r="I29" i="85"/>
  <c r="I28" i="85"/>
  <c r="I27" i="85"/>
  <c r="I26" i="85"/>
  <c r="I25" i="85"/>
  <c r="I24" i="85"/>
  <c r="I23" i="85"/>
  <c r="I22" i="85"/>
  <c r="I21" i="85"/>
  <c r="C40" i="85"/>
  <c r="C37" i="85"/>
  <c r="C36" i="85"/>
  <c r="C35" i="85"/>
  <c r="C34" i="85"/>
  <c r="C33" i="85"/>
  <c r="C32" i="85"/>
  <c r="C31" i="85"/>
  <c r="C30" i="85"/>
  <c r="C29" i="85"/>
  <c r="C28" i="85"/>
  <c r="C27" i="85"/>
  <c r="C26" i="85"/>
  <c r="C25" i="85"/>
  <c r="C24" i="85"/>
  <c r="C23" i="85"/>
  <c r="C22" i="85"/>
  <c r="C21" i="85"/>
  <c r="B6" i="82"/>
  <c r="C39" i="104"/>
  <c r="C38" i="104"/>
  <c r="C37" i="104"/>
  <c r="C36" i="104"/>
  <c r="C35" i="104"/>
  <c r="C34" i="104"/>
  <c r="C33" i="104"/>
  <c r="C32" i="104"/>
  <c r="C31" i="104"/>
  <c r="C30" i="104"/>
  <c r="C29" i="104"/>
  <c r="C28" i="104"/>
  <c r="C27" i="104"/>
  <c r="C26" i="104"/>
  <c r="C25" i="104"/>
  <c r="C24" i="104"/>
  <c r="C23" i="104"/>
  <c r="C42" i="95"/>
  <c r="J34" i="155" s="1"/>
  <c r="C39" i="95"/>
  <c r="C38" i="95"/>
  <c r="C37" i="95"/>
  <c r="C36" i="95"/>
  <c r="C35" i="95"/>
  <c r="C34" i="95"/>
  <c r="C33" i="95"/>
  <c r="C32" i="95"/>
  <c r="C31" i="95"/>
  <c r="C30" i="95"/>
  <c r="C29" i="95"/>
  <c r="C28" i="95"/>
  <c r="C27" i="95"/>
  <c r="C26" i="95"/>
  <c r="C25" i="95"/>
  <c r="C24" i="95"/>
  <c r="C23" i="95"/>
  <c r="J29" i="122" l="1"/>
  <c r="D14" i="121"/>
  <c r="D8" i="121"/>
  <c r="F15" i="123"/>
  <c r="F25" i="122"/>
  <c r="K13" i="120"/>
  <c r="J32" i="122"/>
  <c r="J33" i="122"/>
  <c r="D41" i="114"/>
  <c r="K42" i="114"/>
  <c r="F23" i="122"/>
  <c r="J22" i="122"/>
  <c r="J23" i="122"/>
  <c r="J25" i="122"/>
  <c r="J27" i="122"/>
  <c r="J26" i="122"/>
  <c r="J24" i="122"/>
  <c r="J28" i="122"/>
  <c r="J30" i="122"/>
  <c r="F8" i="123"/>
  <c r="F10" i="123"/>
  <c r="F9" i="123"/>
  <c r="J14" i="123"/>
  <c r="F14" i="121"/>
  <c r="J11" i="121"/>
  <c r="F6" i="121"/>
  <c r="F10" i="121"/>
  <c r="F5" i="114"/>
  <c r="F7" i="114"/>
  <c r="F15" i="122"/>
  <c r="F6" i="122"/>
  <c r="F10" i="122"/>
  <c r="F9" i="122"/>
  <c r="F16" i="122"/>
  <c r="F6" i="113"/>
  <c r="F24" i="123"/>
  <c r="J8" i="123"/>
  <c r="D12" i="121"/>
  <c r="H28" i="121"/>
  <c r="F22" i="123"/>
  <c r="F12" i="123"/>
  <c r="F11" i="123"/>
  <c r="F14" i="123"/>
  <c r="F7" i="123"/>
  <c r="F6" i="123"/>
  <c r="F5" i="123"/>
  <c r="F26" i="122"/>
  <c r="F29" i="122"/>
  <c r="F32" i="122"/>
  <c r="F27" i="122"/>
  <c r="F24" i="122"/>
  <c r="F30" i="122"/>
  <c r="F28" i="122"/>
  <c r="F13" i="122"/>
  <c r="F12" i="122"/>
  <c r="H20" i="121"/>
  <c r="H30" i="121"/>
  <c r="K29" i="121"/>
  <c r="L24" i="121" s="1"/>
  <c r="J10" i="121"/>
  <c r="J7" i="121"/>
  <c r="J5" i="121"/>
  <c r="J6" i="121"/>
  <c r="J14" i="121"/>
  <c r="J42" i="114"/>
  <c r="J30" i="123"/>
  <c r="J20" i="123"/>
  <c r="J22" i="123"/>
  <c r="J21" i="123"/>
  <c r="J24" i="123"/>
  <c r="F30" i="123"/>
  <c r="F27" i="123"/>
  <c r="F22" i="122"/>
  <c r="F33" i="122"/>
  <c r="F5" i="122"/>
  <c r="F8" i="122"/>
  <c r="F11" i="122"/>
  <c r="F7" i="122"/>
  <c r="D20" i="121"/>
  <c r="F22" i="121"/>
  <c r="F26" i="121"/>
  <c r="F30" i="121"/>
  <c r="H22" i="121"/>
  <c r="F23" i="121"/>
  <c r="F25" i="121"/>
  <c r="J29" i="121"/>
  <c r="F24" i="121"/>
  <c r="F28" i="121"/>
  <c r="F21" i="121"/>
  <c r="F31" i="121"/>
  <c r="F8" i="121"/>
  <c r="F12" i="121"/>
  <c r="F11" i="121"/>
  <c r="F15" i="121"/>
  <c r="J8" i="121"/>
  <c r="J12" i="121"/>
  <c r="H10" i="121"/>
  <c r="J15" i="121"/>
  <c r="J9" i="121"/>
  <c r="J40" i="114"/>
  <c r="J6" i="114"/>
  <c r="H8" i="114"/>
  <c r="J7" i="114"/>
  <c r="D38" i="113"/>
  <c r="F40" i="113"/>
  <c r="F4" i="113"/>
  <c r="H5" i="113"/>
  <c r="D42" i="114"/>
  <c r="D40" i="114"/>
  <c r="D7" i="114"/>
  <c r="F42" i="114"/>
  <c r="D5" i="114"/>
  <c r="H14" i="121"/>
  <c r="H4" i="121"/>
  <c r="F5" i="121"/>
  <c r="D4" i="121"/>
  <c r="F7" i="121"/>
  <c r="H8" i="121"/>
  <c r="F9" i="121"/>
  <c r="F27" i="121"/>
  <c r="D15" i="122"/>
  <c r="D7" i="122"/>
  <c r="J28" i="123"/>
  <c r="F25" i="123"/>
  <c r="F21" i="123"/>
  <c r="H12" i="123"/>
  <c r="J5" i="123"/>
  <c r="J15" i="123"/>
  <c r="J11" i="123"/>
  <c r="D6" i="123"/>
  <c r="J9" i="123"/>
  <c r="D14" i="123"/>
  <c r="J4" i="123"/>
  <c r="J12" i="123"/>
  <c r="H6" i="123"/>
  <c r="J7" i="123"/>
  <c r="J6" i="123"/>
  <c r="H14" i="123"/>
  <c r="J25" i="123"/>
  <c r="J31" i="123"/>
  <c r="F23" i="123"/>
  <c r="F28" i="123"/>
  <c r="F26" i="123"/>
  <c r="D22" i="123"/>
  <c r="J23" i="123"/>
  <c r="J27" i="123"/>
  <c r="F31" i="123"/>
  <c r="H21" i="123"/>
  <c r="H27" i="123"/>
  <c r="H31" i="123"/>
  <c r="H23" i="123"/>
  <c r="H25" i="123"/>
  <c r="K29" i="123"/>
  <c r="L21" i="123" s="1"/>
  <c r="H24" i="123"/>
  <c r="H20" i="123"/>
  <c r="D28" i="123"/>
  <c r="D24" i="123"/>
  <c r="H26" i="123"/>
  <c r="H28" i="123"/>
  <c r="H22" i="123"/>
  <c r="D23" i="123"/>
  <c r="D25" i="123"/>
  <c r="D21" i="123"/>
  <c r="D27" i="123"/>
  <c r="D31" i="123"/>
  <c r="D20" i="123"/>
  <c r="D30" i="123"/>
  <c r="K13" i="123"/>
  <c r="L5" i="123" s="1"/>
  <c r="D5" i="123"/>
  <c r="D7" i="123"/>
  <c r="D9" i="123"/>
  <c r="D15" i="123"/>
  <c r="D11" i="123"/>
  <c r="H8" i="123"/>
  <c r="D12" i="123"/>
  <c r="H5" i="123"/>
  <c r="H7" i="123"/>
  <c r="H11" i="123"/>
  <c r="H9" i="123"/>
  <c r="H15" i="123"/>
  <c r="D10" i="123"/>
  <c r="H10" i="123"/>
  <c r="D8" i="123"/>
  <c r="D23" i="122"/>
  <c r="D25" i="122"/>
  <c r="D27" i="122"/>
  <c r="D31" i="122"/>
  <c r="D29" i="122"/>
  <c r="D33" i="122"/>
  <c r="H26" i="122"/>
  <c r="D26" i="122"/>
  <c r="H24" i="122"/>
  <c r="H23" i="122"/>
  <c r="H25" i="122"/>
  <c r="H29" i="122"/>
  <c r="H33" i="122"/>
  <c r="H27" i="122"/>
  <c r="H31" i="122"/>
  <c r="D30" i="122"/>
  <c r="H22" i="122"/>
  <c r="K31" i="122"/>
  <c r="H28" i="122"/>
  <c r="D22" i="122"/>
  <c r="D28" i="122"/>
  <c r="D24" i="122"/>
  <c r="D32" i="122"/>
  <c r="H32" i="122"/>
  <c r="H15" i="122"/>
  <c r="H9" i="122"/>
  <c r="D13" i="122"/>
  <c r="D9" i="122"/>
  <c r="H10" i="122"/>
  <c r="H12" i="122"/>
  <c r="H14" i="122"/>
  <c r="H6" i="122"/>
  <c r="H8" i="122"/>
  <c r="H16" i="122"/>
  <c r="K14" i="122"/>
  <c r="L15" i="122" s="1"/>
  <c r="H13" i="122"/>
  <c r="H5" i="122"/>
  <c r="D6" i="122"/>
  <c r="D8" i="122"/>
  <c r="D12" i="122"/>
  <c r="D14" i="122"/>
  <c r="D16" i="122"/>
  <c r="D10" i="122"/>
  <c r="D5" i="122"/>
  <c r="H11" i="122"/>
  <c r="D21" i="121"/>
  <c r="D23" i="121"/>
  <c r="D25" i="121"/>
  <c r="D27" i="121"/>
  <c r="D31" i="121"/>
  <c r="D30" i="121"/>
  <c r="D24" i="121"/>
  <c r="D26" i="121"/>
  <c r="H21" i="121"/>
  <c r="H23" i="121"/>
  <c r="H25" i="121"/>
  <c r="H27" i="121"/>
  <c r="H31" i="121"/>
  <c r="D28" i="121"/>
  <c r="H26" i="121"/>
  <c r="K13" i="121"/>
  <c r="L7" i="121" s="1"/>
  <c r="D5" i="121"/>
  <c r="D7" i="121"/>
  <c r="D9" i="121"/>
  <c r="D11" i="121"/>
  <c r="D15" i="121"/>
  <c r="D10" i="121"/>
  <c r="D6" i="121"/>
  <c r="H5" i="121"/>
  <c r="H7" i="121"/>
  <c r="H9" i="121"/>
  <c r="H11" i="121"/>
  <c r="H15" i="121"/>
  <c r="H12" i="121"/>
  <c r="H40" i="114"/>
  <c r="F40" i="114"/>
  <c r="H41" i="114"/>
  <c r="D39" i="113"/>
  <c r="H38" i="113"/>
  <c r="H39" i="113"/>
  <c r="F39" i="113"/>
  <c r="F41" i="113" s="1"/>
  <c r="J5" i="113"/>
  <c r="J4" i="113"/>
  <c r="H4" i="113"/>
  <c r="J41" i="113"/>
  <c r="D7" i="113"/>
  <c r="L14" i="121" l="1"/>
  <c r="D41" i="113"/>
  <c r="F8" i="114"/>
  <c r="L26" i="121"/>
  <c r="F7" i="113"/>
  <c r="F13" i="123"/>
  <c r="L15" i="123"/>
  <c r="J43" i="114"/>
  <c r="L25" i="121"/>
  <c r="L22" i="121"/>
  <c r="L27" i="121"/>
  <c r="L30" i="121"/>
  <c r="L23" i="121"/>
  <c r="L28" i="121"/>
  <c r="L21" i="121"/>
  <c r="L31" i="121"/>
  <c r="L20" i="121"/>
  <c r="J8" i="114"/>
  <c r="H7" i="113"/>
  <c r="J29" i="123"/>
  <c r="L16" i="122"/>
  <c r="L12" i="122"/>
  <c r="L10" i="122"/>
  <c r="L8" i="122"/>
  <c r="L6" i="122"/>
  <c r="D29" i="121"/>
  <c r="F29" i="121"/>
  <c r="J13" i="121"/>
  <c r="F13" i="121"/>
  <c r="D13" i="121"/>
  <c r="D43" i="114"/>
  <c r="D8" i="114"/>
  <c r="J7" i="113"/>
  <c r="F43" i="114"/>
  <c r="H29" i="121"/>
  <c r="H13" i="121"/>
  <c r="L25" i="123"/>
  <c r="H13" i="123"/>
  <c r="L28" i="123"/>
  <c r="F29" i="123"/>
  <c r="L12" i="123"/>
  <c r="L31" i="123"/>
  <c r="L27" i="123"/>
  <c r="D13" i="123"/>
  <c r="L11" i="123"/>
  <c r="J13" i="123"/>
  <c r="L26" i="123"/>
  <c r="L24" i="123"/>
  <c r="L22" i="123"/>
  <c r="L30" i="123"/>
  <c r="L20" i="123"/>
  <c r="D29" i="123"/>
  <c r="L23" i="123"/>
  <c r="H29" i="123"/>
  <c r="L9" i="123"/>
  <c r="L14" i="123"/>
  <c r="L6" i="123"/>
  <c r="L4" i="123"/>
  <c r="L8" i="123"/>
  <c r="L10" i="123"/>
  <c r="L7" i="123"/>
  <c r="L31" i="122"/>
  <c r="L22" i="122"/>
  <c r="L26" i="122"/>
  <c r="L23" i="122"/>
  <c r="L24" i="122"/>
  <c r="L30" i="122"/>
  <c r="L27" i="122"/>
  <c r="L28" i="122"/>
  <c r="L32" i="122"/>
  <c r="L29" i="122"/>
  <c r="L33" i="122"/>
  <c r="L25" i="122"/>
  <c r="L14" i="122"/>
  <c r="L11" i="122"/>
  <c r="L9" i="122"/>
  <c r="L13" i="122"/>
  <c r="L5" i="122"/>
  <c r="L7" i="122"/>
  <c r="L6" i="121"/>
  <c r="L10" i="121"/>
  <c r="L12" i="121"/>
  <c r="L5" i="121"/>
  <c r="L8" i="121"/>
  <c r="L4" i="121"/>
  <c r="L11" i="121"/>
  <c r="L9" i="121"/>
  <c r="L15" i="121"/>
  <c r="H43" i="114"/>
  <c r="H41" i="113"/>
  <c r="O51" i="151"/>
  <c r="O50" i="151"/>
  <c r="O49" i="151"/>
  <c r="O48" i="151"/>
  <c r="O47" i="151"/>
  <c r="O46" i="151"/>
  <c r="N51" i="151"/>
  <c r="N50" i="151"/>
  <c r="N49" i="151"/>
  <c r="N48" i="151"/>
  <c r="N47" i="151"/>
  <c r="N46" i="151"/>
  <c r="P33" i="151"/>
  <c r="P32" i="151"/>
  <c r="P31" i="151"/>
  <c r="P30" i="151"/>
  <c r="P29" i="151"/>
  <c r="P28" i="151"/>
  <c r="P27" i="151"/>
  <c r="P26" i="151"/>
  <c r="O33" i="151"/>
  <c r="Q33" i="151" s="1"/>
  <c r="O32" i="151"/>
  <c r="O31" i="151"/>
  <c r="O30" i="151"/>
  <c r="Q30" i="151" s="1"/>
  <c r="O29" i="151"/>
  <c r="O28" i="151"/>
  <c r="O27" i="151"/>
  <c r="O26" i="151"/>
  <c r="Q26" i="151" s="1"/>
  <c r="N33" i="151"/>
  <c r="N32" i="151"/>
  <c r="N31" i="151"/>
  <c r="N30" i="151"/>
  <c r="N29" i="151"/>
  <c r="N28" i="151"/>
  <c r="N27" i="151"/>
  <c r="N26" i="151"/>
  <c r="P25" i="151"/>
  <c r="O25" i="151"/>
  <c r="N25" i="151"/>
  <c r="O6" i="151"/>
  <c r="P6" i="151"/>
  <c r="O7" i="151"/>
  <c r="P7" i="151"/>
  <c r="O8" i="151"/>
  <c r="P8" i="151"/>
  <c r="O9" i="151"/>
  <c r="P9" i="151"/>
  <c r="O10" i="151"/>
  <c r="P10" i="151"/>
  <c r="O11" i="151"/>
  <c r="P11" i="151"/>
  <c r="O12" i="151"/>
  <c r="P12" i="151"/>
  <c r="O13" i="151"/>
  <c r="P13" i="151"/>
  <c r="P5" i="151"/>
  <c r="O5" i="151"/>
  <c r="N6" i="151"/>
  <c r="N7" i="151"/>
  <c r="N8" i="151"/>
  <c r="N9" i="151"/>
  <c r="N10" i="151"/>
  <c r="N11" i="151"/>
  <c r="N12" i="151"/>
  <c r="N13" i="151"/>
  <c r="N5" i="151"/>
  <c r="Q29" i="151" l="1"/>
  <c r="L29" i="121"/>
  <c r="Q32" i="151"/>
  <c r="Q8" i="151"/>
  <c r="Q13" i="151"/>
  <c r="Q11" i="151"/>
  <c r="Q7" i="151"/>
  <c r="Q12" i="151"/>
  <c r="Q10" i="151"/>
  <c r="Q6" i="151"/>
  <c r="L13" i="123"/>
  <c r="L29" i="123"/>
  <c r="L13" i="121"/>
  <c r="Q31" i="151"/>
  <c r="Q27" i="151"/>
  <c r="Q28" i="151"/>
  <c r="Q9" i="151"/>
  <c r="Q25" i="151"/>
  <c r="Q5" i="151"/>
  <c r="I31" i="155"/>
  <c r="I30" i="155"/>
  <c r="I29" i="155"/>
  <c r="I28" i="155"/>
  <c r="I27" i="155"/>
  <c r="I26" i="155"/>
  <c r="I25" i="155"/>
  <c r="I24" i="155"/>
  <c r="I23" i="155"/>
  <c r="I22" i="155"/>
  <c r="I21" i="155"/>
  <c r="I20" i="155"/>
  <c r="I19" i="155"/>
  <c r="I18" i="155"/>
  <c r="I17" i="155"/>
  <c r="I16" i="155"/>
  <c r="I15" i="155"/>
  <c r="I10" i="155"/>
  <c r="P12" i="155" s="1"/>
  <c r="I9" i="155"/>
  <c r="C3" i="155" s="1"/>
  <c r="I5" i="155"/>
  <c r="P10" i="155" s="1"/>
  <c r="I4" i="155"/>
  <c r="P9" i="155" s="1"/>
  <c r="I3" i="155"/>
  <c r="P11" i="155" l="1"/>
  <c r="P13" i="155" s="1"/>
  <c r="Q11" i="155" l="1"/>
  <c r="Q12" i="155"/>
  <c r="Q13" i="155"/>
  <c r="Q9" i="155"/>
  <c r="Q10" i="155"/>
  <c r="I19" i="100"/>
  <c r="Q35" i="152" s="1"/>
  <c r="I18" i="100"/>
  <c r="Q34" i="152" s="1"/>
  <c r="I17" i="100"/>
  <c r="Q33" i="152" s="1"/>
  <c r="I16" i="100"/>
  <c r="Q32" i="152" s="1"/>
  <c r="I15" i="100"/>
  <c r="Q31" i="152" s="1"/>
  <c r="I14" i="100"/>
  <c r="Q30" i="152" s="1"/>
  <c r="I13" i="100"/>
  <c r="Q29" i="152" s="1"/>
  <c r="D7" i="82" l="1"/>
  <c r="D8" i="82"/>
  <c r="D9" i="82"/>
  <c r="D10" i="82"/>
  <c r="D11" i="82"/>
  <c r="D12" i="82"/>
  <c r="D13" i="82"/>
  <c r="D14" i="82"/>
  <c r="D15" i="82"/>
  <c r="D16" i="82"/>
  <c r="D17" i="82"/>
  <c r="D18" i="82"/>
  <c r="D19" i="82"/>
  <c r="D20" i="82"/>
  <c r="D21" i="82"/>
  <c r="D6" i="82"/>
  <c r="B7" i="82"/>
  <c r="B8" i="82"/>
  <c r="B9" i="82"/>
  <c r="B10" i="82"/>
  <c r="B11" i="82"/>
  <c r="B12" i="82"/>
  <c r="B13" i="82"/>
  <c r="B14" i="82"/>
  <c r="B15" i="82"/>
  <c r="B16" i="82"/>
  <c r="B17" i="82"/>
  <c r="B18" i="82"/>
  <c r="B19" i="82"/>
  <c r="B20" i="82"/>
  <c r="B21" i="82"/>
  <c r="G6" i="91"/>
  <c r="G7" i="91"/>
  <c r="G8" i="91"/>
  <c r="G9" i="91"/>
  <c r="G10" i="91"/>
  <c r="G11" i="91"/>
  <c r="G12" i="91"/>
  <c r="G13" i="91"/>
  <c r="G14" i="91"/>
  <c r="G15" i="91"/>
  <c r="G16" i="91"/>
  <c r="G17" i="91"/>
  <c r="G18" i="91"/>
  <c r="G19" i="91"/>
  <c r="G20" i="91"/>
  <c r="G5" i="91"/>
  <c r="F6" i="91"/>
  <c r="F7" i="91"/>
  <c r="F8" i="91"/>
  <c r="F9" i="91"/>
  <c r="F10" i="91"/>
  <c r="F11" i="91"/>
  <c r="F12" i="91"/>
  <c r="F13" i="91"/>
  <c r="F14" i="91"/>
  <c r="F15" i="91"/>
  <c r="F16" i="91"/>
  <c r="F17" i="91"/>
  <c r="F18" i="91"/>
  <c r="F19" i="91"/>
  <c r="F20" i="91"/>
  <c r="F5" i="91"/>
  <c r="B6" i="91"/>
  <c r="B7" i="91"/>
  <c r="B8" i="91"/>
  <c r="B9" i="91"/>
  <c r="B10" i="91"/>
  <c r="B11" i="91"/>
  <c r="B12" i="91"/>
  <c r="B13" i="91"/>
  <c r="B14" i="91"/>
  <c r="B15" i="91"/>
  <c r="B16" i="91"/>
  <c r="B17" i="91"/>
  <c r="B18" i="91"/>
  <c r="B19" i="91"/>
  <c r="B20" i="91"/>
  <c r="B5" i="91"/>
  <c r="D35" i="81"/>
  <c r="D36" i="81"/>
  <c r="D37" i="81"/>
  <c r="D38" i="81"/>
  <c r="D39" i="81"/>
  <c r="D40" i="81"/>
  <c r="D34" i="81"/>
  <c r="D33" i="81"/>
  <c r="D32" i="81"/>
  <c r="D31" i="81"/>
  <c r="D29" i="81"/>
  <c r="D30" i="81"/>
  <c r="D28" i="81"/>
  <c r="D14" i="81"/>
  <c r="D15" i="81"/>
  <c r="D16" i="81"/>
  <c r="D17" i="81"/>
  <c r="D18" i="81"/>
  <c r="D19" i="81"/>
  <c r="D20" i="81"/>
  <c r="D12" i="81"/>
  <c r="D13" i="81"/>
  <c r="D11" i="81"/>
  <c r="D10" i="81"/>
  <c r="D9" i="81"/>
  <c r="D8" i="81"/>
  <c r="D7" i="81"/>
  <c r="B19" i="80"/>
  <c r="B18" i="80"/>
  <c r="B17" i="80"/>
  <c r="B16" i="80"/>
  <c r="B8" i="80"/>
  <c r="B7" i="80"/>
  <c r="B6" i="80"/>
  <c r="B5" i="80"/>
  <c r="F5" i="79"/>
  <c r="B6" i="79"/>
  <c r="B7" i="79"/>
  <c r="B8" i="79"/>
  <c r="B9" i="79"/>
  <c r="B10" i="79"/>
  <c r="B5" i="79"/>
  <c r="D43" i="81" l="1"/>
  <c r="D22" i="81"/>
  <c r="B25" i="82"/>
  <c r="N6" i="158" s="1"/>
  <c r="P49" i="152"/>
  <c r="P55" i="152"/>
  <c r="P51" i="152"/>
  <c r="P47" i="152"/>
  <c r="P50" i="152"/>
  <c r="P54" i="152"/>
  <c r="P57" i="152"/>
  <c r="P53" i="152"/>
  <c r="P48" i="152"/>
  <c r="P56" i="152"/>
  <c r="P52" i="152"/>
  <c r="O57" i="152"/>
  <c r="O53" i="152"/>
  <c r="O47" i="152"/>
  <c r="O48" i="152"/>
  <c r="O56" i="152"/>
  <c r="O52" i="152"/>
  <c r="O50" i="152"/>
  <c r="O55" i="152"/>
  <c r="O51" i="152"/>
  <c r="O49" i="152"/>
  <c r="O54" i="152"/>
  <c r="B26" i="82"/>
  <c r="N7" i="158" s="1"/>
  <c r="B22" i="82"/>
  <c r="C6" i="82" s="1"/>
  <c r="B24" i="82"/>
  <c r="N5" i="158" s="1"/>
  <c r="B23" i="82"/>
  <c r="N4" i="158" s="1"/>
  <c r="N20" i="158" s="1"/>
  <c r="D27" i="81"/>
  <c r="P46" i="152" s="1"/>
  <c r="D6" i="81"/>
  <c r="O46" i="152" s="1"/>
  <c r="I12" i="100"/>
  <c r="Q28" i="152" s="1"/>
  <c r="I11" i="100"/>
  <c r="Q27" i="152" s="1"/>
  <c r="I10" i="100"/>
  <c r="Q26" i="152" s="1"/>
  <c r="I9" i="100"/>
  <c r="Q25" i="152" s="1"/>
  <c r="I8" i="100"/>
  <c r="I7" i="100"/>
  <c r="I6" i="100"/>
  <c r="H13" i="100"/>
  <c r="P29" i="152" s="1"/>
  <c r="R29" i="152" s="1"/>
  <c r="H14" i="100"/>
  <c r="P30" i="152" s="1"/>
  <c r="R30" i="152" s="1"/>
  <c r="H15" i="100"/>
  <c r="P31" i="152" s="1"/>
  <c r="R31" i="152" s="1"/>
  <c r="H16" i="100"/>
  <c r="P32" i="152" s="1"/>
  <c r="R32" i="152" s="1"/>
  <c r="H17" i="100"/>
  <c r="P33" i="152" s="1"/>
  <c r="R33" i="152" s="1"/>
  <c r="H18" i="100"/>
  <c r="P34" i="152" s="1"/>
  <c r="R34" i="152" s="1"/>
  <c r="H19" i="100"/>
  <c r="P35" i="152" s="1"/>
  <c r="R35" i="152" s="1"/>
  <c r="H12" i="100"/>
  <c r="P28" i="152" s="1"/>
  <c r="H11" i="100"/>
  <c r="P27" i="152" s="1"/>
  <c r="H10" i="100"/>
  <c r="P26" i="152" s="1"/>
  <c r="H9" i="100"/>
  <c r="P25" i="152" s="1"/>
  <c r="H8" i="100"/>
  <c r="H7" i="100"/>
  <c r="H6" i="100"/>
  <c r="C6" i="100"/>
  <c r="C13" i="100"/>
  <c r="C14" i="100"/>
  <c r="C15" i="100"/>
  <c r="C16" i="100"/>
  <c r="C17" i="100"/>
  <c r="C18" i="100"/>
  <c r="C19" i="100"/>
  <c r="C12" i="100"/>
  <c r="C11" i="100"/>
  <c r="C10" i="100"/>
  <c r="C9" i="100"/>
  <c r="C8" i="100"/>
  <c r="C7" i="100"/>
  <c r="C18" i="99"/>
  <c r="C19" i="99"/>
  <c r="C17" i="99"/>
  <c r="C16" i="99"/>
  <c r="B19" i="99"/>
  <c r="B18" i="99"/>
  <c r="B17" i="99"/>
  <c r="B16" i="99"/>
  <c r="B16" i="89"/>
  <c r="B5" i="99"/>
  <c r="B8" i="99"/>
  <c r="B7" i="99"/>
  <c r="B6" i="99"/>
  <c r="G16" i="98"/>
  <c r="G6" i="98"/>
  <c r="G7" i="98"/>
  <c r="G8" i="98"/>
  <c r="G9" i="98"/>
  <c r="G10" i="98"/>
  <c r="G11" i="98"/>
  <c r="G12" i="98"/>
  <c r="G13" i="98"/>
  <c r="G5" i="98"/>
  <c r="F6" i="98"/>
  <c r="F7" i="98"/>
  <c r="F8" i="98"/>
  <c r="F9" i="98"/>
  <c r="F10" i="98"/>
  <c r="F11" i="98"/>
  <c r="F12" i="98"/>
  <c r="F13" i="98"/>
  <c r="F5" i="98"/>
  <c r="B6" i="98"/>
  <c r="B7" i="98"/>
  <c r="B8" i="98"/>
  <c r="B9" i="98"/>
  <c r="B10" i="98"/>
  <c r="B11" i="98"/>
  <c r="B12" i="98"/>
  <c r="B13" i="98"/>
  <c r="B5" i="98"/>
  <c r="B5" i="88"/>
  <c r="G6" i="88"/>
  <c r="G7" i="88"/>
  <c r="G8" i="88"/>
  <c r="G9" i="88"/>
  <c r="G10" i="88"/>
  <c r="G11" i="88"/>
  <c r="G12" i="88"/>
  <c r="G13" i="88"/>
  <c r="G5" i="88"/>
  <c r="F6" i="88"/>
  <c r="F7" i="88"/>
  <c r="F8" i="88"/>
  <c r="F9" i="88"/>
  <c r="F10" i="88"/>
  <c r="F11" i="88"/>
  <c r="F12" i="88"/>
  <c r="F13" i="88"/>
  <c r="F5" i="88"/>
  <c r="B6" i="88"/>
  <c r="B7" i="88"/>
  <c r="B8" i="88"/>
  <c r="B9" i="88"/>
  <c r="B10" i="88"/>
  <c r="B11" i="88"/>
  <c r="B12" i="88"/>
  <c r="B13" i="88"/>
  <c r="I13" i="90"/>
  <c r="Q10" i="152" s="1"/>
  <c r="I14" i="90"/>
  <c r="Q11" i="152" s="1"/>
  <c r="I15" i="90"/>
  <c r="Q12" i="152" s="1"/>
  <c r="I16" i="90"/>
  <c r="Q13" i="152" s="1"/>
  <c r="I17" i="90"/>
  <c r="Q14" i="152" s="1"/>
  <c r="I18" i="90"/>
  <c r="Q15" i="152" s="1"/>
  <c r="I19" i="90"/>
  <c r="Q16" i="152" s="1"/>
  <c r="I12" i="90"/>
  <c r="Q9" i="152" s="1"/>
  <c r="I11" i="90"/>
  <c r="Q8" i="152" s="1"/>
  <c r="I10" i="90"/>
  <c r="Q7" i="152" s="1"/>
  <c r="I9" i="90"/>
  <c r="Q6" i="152" s="1"/>
  <c r="I8" i="90"/>
  <c r="I7" i="90"/>
  <c r="I6" i="90"/>
  <c r="H13" i="90"/>
  <c r="P10" i="152" s="1"/>
  <c r="H14" i="90"/>
  <c r="P11" i="152" s="1"/>
  <c r="H15" i="90"/>
  <c r="P12" i="152" s="1"/>
  <c r="H16" i="90"/>
  <c r="P13" i="152" s="1"/>
  <c r="H17" i="90"/>
  <c r="P14" i="152" s="1"/>
  <c r="H18" i="90"/>
  <c r="P15" i="152" s="1"/>
  <c r="H19" i="90"/>
  <c r="P16" i="152" s="1"/>
  <c r="H12" i="90"/>
  <c r="P9" i="152" s="1"/>
  <c r="H11" i="90"/>
  <c r="P8" i="152" s="1"/>
  <c r="H10" i="90"/>
  <c r="P7" i="152" s="1"/>
  <c r="H9" i="90"/>
  <c r="P6" i="152" s="1"/>
  <c r="H8" i="90"/>
  <c r="H7" i="90"/>
  <c r="C18" i="90"/>
  <c r="C17" i="90"/>
  <c r="C16" i="90"/>
  <c r="C15" i="90"/>
  <c r="C14" i="90"/>
  <c r="C13" i="90"/>
  <c r="C12" i="90"/>
  <c r="C11" i="90"/>
  <c r="C10" i="90"/>
  <c r="C9" i="90"/>
  <c r="C8" i="90"/>
  <c r="C7" i="90"/>
  <c r="C6" i="90"/>
  <c r="I21" i="100" l="1"/>
  <c r="C21" i="100"/>
  <c r="C21" i="90"/>
  <c r="N21" i="158"/>
  <c r="H21" i="100"/>
  <c r="I21" i="90"/>
  <c r="H21" i="90"/>
  <c r="R8" i="152"/>
  <c r="R14" i="152"/>
  <c r="R10" i="152"/>
  <c r="R25" i="152"/>
  <c r="R26" i="152"/>
  <c r="C17" i="82"/>
  <c r="N7" i="153"/>
  <c r="C26" i="82"/>
  <c r="C11" i="82"/>
  <c r="C8" i="82"/>
  <c r="C10" i="82"/>
  <c r="C21" i="82"/>
  <c r="C7" i="82"/>
  <c r="C20" i="82"/>
  <c r="N4" i="153"/>
  <c r="C23" i="82"/>
  <c r="C15" i="82"/>
  <c r="C12" i="82"/>
  <c r="C9" i="82"/>
  <c r="C18" i="82"/>
  <c r="C14" i="82"/>
  <c r="N5" i="153"/>
  <c r="C24" i="82"/>
  <c r="C19" i="82"/>
  <c r="C16" i="82"/>
  <c r="C13" i="82"/>
  <c r="N6" i="153"/>
  <c r="C25" i="82"/>
  <c r="O28" i="152"/>
  <c r="O32" i="152"/>
  <c r="O25" i="152"/>
  <c r="O35" i="152"/>
  <c r="O31" i="152"/>
  <c r="O26" i="152"/>
  <c r="O34" i="152"/>
  <c r="O30" i="152"/>
  <c r="O27" i="152"/>
  <c r="O33" i="152"/>
  <c r="O29" i="152"/>
  <c r="R7" i="152"/>
  <c r="R15" i="152"/>
  <c r="R11" i="152"/>
  <c r="R9" i="152"/>
  <c r="R13" i="152"/>
  <c r="O14" i="152"/>
  <c r="O7" i="152"/>
  <c r="O11" i="152"/>
  <c r="O15" i="152"/>
  <c r="O8" i="152"/>
  <c r="O16" i="152"/>
  <c r="O6" i="152"/>
  <c r="O10" i="152"/>
  <c r="O12" i="152"/>
  <c r="O9" i="152"/>
  <c r="O13" i="152"/>
  <c r="R12" i="152"/>
  <c r="R27" i="152"/>
  <c r="R28" i="152"/>
  <c r="R6" i="152"/>
  <c r="R16" i="152"/>
  <c r="I5" i="100"/>
  <c r="Q24" i="152" s="1"/>
  <c r="H5" i="100"/>
  <c r="P24" i="152" s="1"/>
  <c r="C5" i="100"/>
  <c r="C18" i="89"/>
  <c r="C19" i="89"/>
  <c r="B18" i="89"/>
  <c r="B19" i="89"/>
  <c r="B17" i="89"/>
  <c r="C17" i="89"/>
  <c r="C16" i="89"/>
  <c r="B6" i="89"/>
  <c r="B8" i="89"/>
  <c r="B7" i="89"/>
  <c r="B10" i="89" l="1"/>
  <c r="O24" i="152"/>
  <c r="R24" i="152"/>
  <c r="J15" i="155"/>
  <c r="F12" i="79" l="1"/>
  <c r="B12" i="79"/>
  <c r="F13" i="79" l="1"/>
  <c r="B13" i="79"/>
  <c r="H9" i="98"/>
  <c r="H13" i="98"/>
  <c r="F16" i="98"/>
  <c r="H6" i="98"/>
  <c r="H7" i="98"/>
  <c r="H8" i="98"/>
  <c r="H10" i="98"/>
  <c r="H11" i="98"/>
  <c r="H12" i="98"/>
  <c r="H5" i="98"/>
  <c r="B16" i="98"/>
  <c r="C5" i="90"/>
  <c r="O5" i="152" s="1"/>
  <c r="G16" i="88"/>
  <c r="F16" i="88"/>
  <c r="H7" i="88"/>
  <c r="H6" i="88"/>
  <c r="B16" i="88"/>
  <c r="H16" i="88" l="1"/>
  <c r="H11" i="88"/>
  <c r="H5" i="88"/>
  <c r="H10" i="88"/>
  <c r="H13" i="88"/>
  <c r="H9" i="88"/>
  <c r="H12" i="88"/>
  <c r="H8" i="88"/>
  <c r="A21" i="104" l="1"/>
  <c r="A21" i="95"/>
  <c r="H14" i="88" l="1"/>
  <c r="I16" i="88" l="1"/>
  <c r="I6" i="88"/>
  <c r="I7" i="88"/>
  <c r="I9" i="88"/>
  <c r="I10" i="88"/>
  <c r="I12" i="88"/>
  <c r="I5" i="88"/>
  <c r="I11" i="88"/>
  <c r="I8" i="88"/>
  <c r="I13" i="88"/>
  <c r="J18" i="90"/>
  <c r="J19" i="90"/>
  <c r="H23" i="104"/>
  <c r="K15" i="155" s="1"/>
  <c r="H24" i="104"/>
  <c r="K16" i="155" s="1"/>
  <c r="H25" i="104"/>
  <c r="K17" i="155" s="1"/>
  <c r="H26" i="104"/>
  <c r="K18" i="155" s="1"/>
  <c r="H27" i="104"/>
  <c r="K19" i="155" s="1"/>
  <c r="H28" i="104"/>
  <c r="K20" i="155" s="1"/>
  <c r="H29" i="104"/>
  <c r="K21" i="155" s="1"/>
  <c r="H30" i="104"/>
  <c r="K22" i="155" s="1"/>
  <c r="H31" i="104"/>
  <c r="K23" i="155" s="1"/>
  <c r="H32" i="104"/>
  <c r="K24" i="155" s="1"/>
  <c r="H33" i="104"/>
  <c r="K25" i="155" s="1"/>
  <c r="H34" i="104"/>
  <c r="K26" i="155" s="1"/>
  <c r="H35" i="104"/>
  <c r="K27" i="155" s="1"/>
  <c r="H36" i="104"/>
  <c r="K28" i="155" s="1"/>
  <c r="H37" i="104"/>
  <c r="K29" i="155" s="1"/>
  <c r="H38" i="104"/>
  <c r="K30" i="155" s="1"/>
  <c r="H39" i="104"/>
  <c r="K31" i="155" s="1"/>
  <c r="G41" i="81" l="1"/>
  <c r="G40" i="81"/>
  <c r="H5" i="90"/>
  <c r="P5" i="152" s="1"/>
  <c r="I5" i="90" l="1"/>
  <c r="Q5" i="152" s="1"/>
  <c r="R5" i="152" s="1"/>
  <c r="J5" i="100" l="1"/>
  <c r="D20" i="90" l="1"/>
  <c r="B14" i="88"/>
  <c r="F14" i="88"/>
  <c r="F15" i="88" s="1"/>
  <c r="D10" i="90" l="1"/>
  <c r="D18" i="90"/>
  <c r="D19" i="90"/>
  <c r="D13" i="90"/>
  <c r="D8" i="90"/>
  <c r="D16" i="90"/>
  <c r="D17" i="90"/>
  <c r="D7" i="90"/>
  <c r="D6" i="90"/>
  <c r="D11" i="90"/>
  <c r="D9" i="90"/>
  <c r="D15" i="90"/>
  <c r="D14" i="90"/>
  <c r="D12" i="90"/>
  <c r="C16" i="88"/>
  <c r="C12" i="88"/>
  <c r="C7" i="88"/>
  <c r="C8" i="88"/>
  <c r="C10" i="88"/>
  <c r="C5" i="88"/>
  <c r="C11" i="88"/>
  <c r="C6" i="88"/>
  <c r="C13" i="88"/>
  <c r="C9" i="88"/>
  <c r="B15" i="88"/>
  <c r="C15" i="88" s="1"/>
  <c r="F15" i="150"/>
  <c r="M5" i="156" s="1"/>
  <c r="G64" i="150"/>
  <c r="G62" i="150"/>
  <c r="G58" i="150"/>
  <c r="G54" i="150"/>
  <c r="F54" i="150"/>
  <c r="M10" i="174" s="1"/>
  <c r="G50" i="150"/>
  <c r="G48" i="150"/>
  <c r="F49" i="150"/>
  <c r="M5" i="174" s="1"/>
  <c r="G45" i="150"/>
  <c r="G40" i="150"/>
  <c r="G38" i="150"/>
  <c r="G33" i="150"/>
  <c r="G30" i="150"/>
  <c r="G29" i="150"/>
  <c r="G26" i="150"/>
  <c r="G22" i="150"/>
  <c r="G21" i="150"/>
  <c r="G18" i="150"/>
  <c r="G17" i="150"/>
  <c r="G15" i="150"/>
  <c r="G14" i="150"/>
  <c r="G11" i="150"/>
  <c r="G5" i="150"/>
  <c r="D21" i="90" l="1"/>
  <c r="F63" i="150"/>
  <c r="M19" i="174" s="1"/>
  <c r="F58" i="150"/>
  <c r="M14" i="174" s="1"/>
  <c r="F50" i="150"/>
  <c r="M6" i="174" s="1"/>
  <c r="F53" i="150"/>
  <c r="M9" i="174" s="1"/>
  <c r="F59" i="150"/>
  <c r="M15" i="174" s="1"/>
  <c r="F64" i="150"/>
  <c r="M20" i="174" s="1"/>
  <c r="F55" i="150"/>
  <c r="M11" i="174" s="1"/>
  <c r="F61" i="150"/>
  <c r="M17" i="174" s="1"/>
  <c r="F48" i="150"/>
  <c r="M4" i="174" s="1"/>
  <c r="F51" i="150"/>
  <c r="M7" i="174" s="1"/>
  <c r="F56" i="150"/>
  <c r="M12" i="174" s="1"/>
  <c r="F62" i="150"/>
  <c r="M18" i="174" s="1"/>
  <c r="F30" i="150"/>
  <c r="M20" i="156" s="1"/>
  <c r="F14" i="150"/>
  <c r="M4" i="156" s="1"/>
  <c r="G16" i="150"/>
  <c r="G20" i="150"/>
  <c r="G24" i="150"/>
  <c r="G28" i="150"/>
  <c r="G4" i="150"/>
  <c r="G6" i="150"/>
  <c r="F57" i="150"/>
  <c r="M13" i="174" s="1"/>
  <c r="G19" i="150"/>
  <c r="G23" i="150"/>
  <c r="G25" i="150"/>
  <c r="G27" i="150"/>
  <c r="G44" i="150"/>
  <c r="D44" i="150"/>
  <c r="G10" i="150"/>
  <c r="G47" i="150"/>
  <c r="D64" i="150"/>
  <c r="L20" i="174" s="1"/>
  <c r="G61" i="150"/>
  <c r="G57" i="150"/>
  <c r="G55" i="150"/>
  <c r="G53" i="150"/>
  <c r="G49" i="150"/>
  <c r="G60" i="150"/>
  <c r="G56" i="150"/>
  <c r="G52" i="150"/>
  <c r="F52" i="150"/>
  <c r="M8" i="174" s="1"/>
  <c r="F60" i="150"/>
  <c r="M16" i="174" s="1"/>
  <c r="G59" i="150"/>
  <c r="G51" i="150"/>
  <c r="E41" i="150"/>
  <c r="F39" i="150" s="1"/>
  <c r="G39" i="150"/>
  <c r="D50" i="150"/>
  <c r="L6" i="174" s="1"/>
  <c r="D62" i="150"/>
  <c r="L18" i="174" s="1"/>
  <c r="C41" i="150"/>
  <c r="D39" i="150" s="1"/>
  <c r="D49" i="150"/>
  <c r="L5" i="174" s="1"/>
  <c r="D53" i="150"/>
  <c r="L9" i="174" s="1"/>
  <c r="D57" i="150"/>
  <c r="L13" i="174" s="1"/>
  <c r="D61" i="150"/>
  <c r="L17" i="174" s="1"/>
  <c r="D52" i="150"/>
  <c r="L8" i="174" s="1"/>
  <c r="D56" i="150"/>
  <c r="L12" i="174" s="1"/>
  <c r="D60" i="150"/>
  <c r="L16" i="174" s="1"/>
  <c r="D58" i="150"/>
  <c r="L14" i="174" s="1"/>
  <c r="D45" i="150"/>
  <c r="D51" i="150"/>
  <c r="L7" i="174" s="1"/>
  <c r="D55" i="150"/>
  <c r="L11" i="174" s="1"/>
  <c r="D59" i="150"/>
  <c r="L15" i="174" s="1"/>
  <c r="D63" i="150"/>
  <c r="L19" i="174" s="1"/>
  <c r="F10" i="150"/>
  <c r="F11" i="150"/>
  <c r="F16" i="150"/>
  <c r="M6" i="156" s="1"/>
  <c r="F17" i="150"/>
  <c r="M7" i="156" s="1"/>
  <c r="F18" i="150"/>
  <c r="M8" i="156" s="1"/>
  <c r="F19" i="150"/>
  <c r="M9" i="156" s="1"/>
  <c r="F20" i="150"/>
  <c r="M10" i="156" s="1"/>
  <c r="F21" i="150"/>
  <c r="M11" i="156" s="1"/>
  <c r="F23" i="150"/>
  <c r="M13" i="156" s="1"/>
  <c r="F25" i="150"/>
  <c r="M15" i="156" s="1"/>
  <c r="F27" i="150"/>
  <c r="M17" i="156" s="1"/>
  <c r="F29" i="150"/>
  <c r="M19" i="156" s="1"/>
  <c r="C7" i="150"/>
  <c r="F44" i="150"/>
  <c r="F22" i="150"/>
  <c r="M12" i="156" s="1"/>
  <c r="F24" i="150"/>
  <c r="M14" i="156" s="1"/>
  <c r="F26" i="150"/>
  <c r="M16" i="156" s="1"/>
  <c r="F28" i="150"/>
  <c r="M18" i="156" s="1"/>
  <c r="F45" i="150"/>
  <c r="E7" i="150"/>
  <c r="F4" i="150" s="1"/>
  <c r="D11" i="150"/>
  <c r="D28" i="150"/>
  <c r="L18" i="156" s="1"/>
  <c r="D40" i="150" l="1"/>
  <c r="G63" i="150"/>
  <c r="D48" i="150"/>
  <c r="L4" i="174" s="1"/>
  <c r="D54" i="150"/>
  <c r="L10" i="174" s="1"/>
  <c r="D26" i="150"/>
  <c r="L16" i="156" s="1"/>
  <c r="D16" i="150"/>
  <c r="L6" i="156" s="1"/>
  <c r="D29" i="150"/>
  <c r="L19" i="156" s="1"/>
  <c r="D15" i="150"/>
  <c r="L5" i="156" s="1"/>
  <c r="D10" i="150"/>
  <c r="D24" i="150"/>
  <c r="L14" i="156" s="1"/>
  <c r="D14" i="150"/>
  <c r="L4" i="156" s="1"/>
  <c r="L11" i="156"/>
  <c r="D22" i="150"/>
  <c r="L12" i="156" s="1"/>
  <c r="D20" i="150"/>
  <c r="L10" i="156" s="1"/>
  <c r="D17" i="150"/>
  <c r="L7" i="156" s="1"/>
  <c r="D18" i="150"/>
  <c r="L8" i="156" s="1"/>
  <c r="D30" i="150"/>
  <c r="L20" i="156" s="1"/>
  <c r="D5" i="150"/>
  <c r="G7" i="150"/>
  <c r="D27" i="150"/>
  <c r="L17" i="156" s="1"/>
  <c r="D25" i="150"/>
  <c r="L15" i="156" s="1"/>
  <c r="D23" i="150"/>
  <c r="L13" i="156" s="1"/>
  <c r="D19" i="150"/>
  <c r="L9" i="156" s="1"/>
  <c r="D38" i="150"/>
  <c r="F40" i="150"/>
  <c r="G41" i="150"/>
  <c r="F38" i="150"/>
  <c r="D4" i="150"/>
  <c r="D6" i="150"/>
  <c r="F5" i="150"/>
  <c r="F6" i="150"/>
  <c r="D41" i="150" l="1"/>
  <c r="F41" i="150"/>
  <c r="F7" i="150"/>
  <c r="D7" i="150"/>
  <c r="C29" i="120" l="1"/>
  <c r="E29" i="120"/>
  <c r="G29" i="120"/>
  <c r="I29" i="120"/>
  <c r="H15" i="120" l="1"/>
  <c r="H14" i="120"/>
  <c r="H30" i="120"/>
  <c r="H31" i="120"/>
  <c r="J31" i="120"/>
  <c r="J30" i="120"/>
  <c r="F30" i="120"/>
  <c r="F31" i="120"/>
  <c r="D15" i="120"/>
  <c r="D14" i="120"/>
  <c r="D31" i="120"/>
  <c r="D30" i="120"/>
  <c r="F14" i="120"/>
  <c r="F15" i="120"/>
  <c r="J15" i="120"/>
  <c r="J14" i="120"/>
  <c r="H25" i="120"/>
  <c r="H27" i="120"/>
  <c r="H21" i="120"/>
  <c r="H23" i="120"/>
  <c r="H28" i="120"/>
  <c r="H20" i="120"/>
  <c r="H22" i="120"/>
  <c r="H26" i="120"/>
  <c r="H24" i="120"/>
  <c r="F20" i="120"/>
  <c r="F28" i="120"/>
  <c r="F22" i="120"/>
  <c r="F24" i="120"/>
  <c r="F26" i="120"/>
  <c r="F25" i="120"/>
  <c r="F23" i="120"/>
  <c r="F21" i="120"/>
  <c r="F27" i="120"/>
  <c r="J22" i="120"/>
  <c r="J24" i="120"/>
  <c r="J26" i="120"/>
  <c r="J20" i="120"/>
  <c r="J28" i="120"/>
  <c r="J25" i="120"/>
  <c r="J21" i="120"/>
  <c r="J27" i="120"/>
  <c r="J23" i="120"/>
  <c r="D21" i="120"/>
  <c r="D23" i="120"/>
  <c r="D25" i="120"/>
  <c r="D27" i="120"/>
  <c r="D26" i="120"/>
  <c r="D22" i="120"/>
  <c r="D20" i="120"/>
  <c r="D28" i="120"/>
  <c r="D24" i="120"/>
  <c r="F8" i="120"/>
  <c r="F12" i="120"/>
  <c r="F4" i="120"/>
  <c r="F6" i="120"/>
  <c r="F10" i="120"/>
  <c r="F11" i="120"/>
  <c r="F9" i="120"/>
  <c r="F5" i="120"/>
  <c r="F7" i="120"/>
  <c r="J4" i="120"/>
  <c r="J6" i="120"/>
  <c r="J10" i="120"/>
  <c r="J8" i="120"/>
  <c r="J12" i="120"/>
  <c r="J7" i="120"/>
  <c r="J11" i="120"/>
  <c r="J9" i="120"/>
  <c r="J5" i="120"/>
  <c r="D9" i="120"/>
  <c r="D5" i="120"/>
  <c r="D7" i="120"/>
  <c r="D11" i="120"/>
  <c r="D8" i="120"/>
  <c r="D12" i="120"/>
  <c r="D6" i="120"/>
  <c r="D10" i="120"/>
  <c r="D4" i="120"/>
  <c r="H5" i="120"/>
  <c r="H7" i="120"/>
  <c r="H11" i="120"/>
  <c r="H9" i="120"/>
  <c r="H8" i="120"/>
  <c r="H4" i="120"/>
  <c r="H6" i="120"/>
  <c r="H12" i="120"/>
  <c r="H10" i="120"/>
  <c r="K45" i="113"/>
  <c r="K11" i="114"/>
  <c r="K22" i="113"/>
  <c r="K39" i="113"/>
  <c r="K38" i="113"/>
  <c r="K21" i="113"/>
  <c r="K41" i="114"/>
  <c r="K6" i="114"/>
  <c r="K5" i="114"/>
  <c r="K40" i="113"/>
  <c r="K25" i="113"/>
  <c r="K49" i="114"/>
  <c r="K40" i="114"/>
  <c r="K26" i="113"/>
  <c r="K17" i="113"/>
  <c r="K14" i="113"/>
  <c r="K4" i="113"/>
  <c r="K46" i="114"/>
  <c r="K12" i="114"/>
  <c r="K29" i="113"/>
  <c r="K18" i="113"/>
  <c r="K6" i="113"/>
  <c r="K7" i="114"/>
  <c r="K15" i="113"/>
  <c r="K44" i="113"/>
  <c r="K28" i="113"/>
  <c r="K24" i="113"/>
  <c r="K20" i="113"/>
  <c r="K16" i="113"/>
  <c r="K27" i="113"/>
  <c r="K23" i="113"/>
  <c r="K19" i="113"/>
  <c r="K10" i="113"/>
  <c r="K45" i="114"/>
  <c r="K11" i="113"/>
  <c r="K5" i="113"/>
  <c r="K29" i="120"/>
  <c r="L15" i="120" l="1"/>
  <c r="L14" i="120"/>
  <c r="L31" i="120"/>
  <c r="L30" i="120"/>
  <c r="L24" i="120"/>
  <c r="L20" i="120"/>
  <c r="L22" i="120"/>
  <c r="L21" i="120"/>
  <c r="L25" i="120"/>
  <c r="L23" i="120"/>
  <c r="L26" i="120"/>
  <c r="L27" i="120"/>
  <c r="L28" i="120"/>
  <c r="L6" i="120"/>
  <c r="L4" i="120"/>
  <c r="L5" i="120"/>
  <c r="L7" i="120"/>
  <c r="L11" i="120"/>
  <c r="L10" i="120"/>
  <c r="L9" i="120"/>
  <c r="L8" i="120"/>
  <c r="L12" i="120"/>
  <c r="J29" i="120"/>
  <c r="J13" i="120"/>
  <c r="H13" i="120"/>
  <c r="F29" i="120"/>
  <c r="D13" i="120"/>
  <c r="D29" i="120"/>
  <c r="H29" i="120"/>
  <c r="F13" i="120"/>
  <c r="K7" i="113"/>
  <c r="K8" i="114"/>
  <c r="K41" i="113"/>
  <c r="L29" i="120" l="1"/>
  <c r="L13" i="120"/>
  <c r="D7" i="85" l="1"/>
  <c r="D6" i="85"/>
  <c r="D5" i="85"/>
  <c r="H8" i="85" l="1"/>
  <c r="B8" i="85"/>
  <c r="D8" i="85"/>
  <c r="E5" i="85" s="1"/>
  <c r="G8" i="104"/>
  <c r="F8" i="104"/>
  <c r="B8" i="104"/>
  <c r="H7" i="104"/>
  <c r="H6" i="104"/>
  <c r="H5" i="104"/>
  <c r="E7" i="85" l="1"/>
  <c r="I7" i="85"/>
  <c r="I5" i="85"/>
  <c r="I6" i="85"/>
  <c r="C5" i="85"/>
  <c r="C7" i="85"/>
  <c r="C6" i="85"/>
  <c r="K3" i="155"/>
  <c r="K5" i="155"/>
  <c r="R10" i="155" s="1"/>
  <c r="K4" i="155"/>
  <c r="R9" i="155" s="1"/>
  <c r="C6" i="104"/>
  <c r="C7" i="104"/>
  <c r="C5" i="104"/>
  <c r="E6" i="85"/>
  <c r="H8" i="104"/>
  <c r="I7" i="104" s="1"/>
  <c r="G8" i="95"/>
  <c r="F8" i="95"/>
  <c r="B8" i="95"/>
  <c r="H7" i="95"/>
  <c r="H6" i="95"/>
  <c r="H5" i="95"/>
  <c r="I6" i="104" l="1"/>
  <c r="L4" i="155" s="1"/>
  <c r="I5" i="104"/>
  <c r="L3" i="155" s="1"/>
  <c r="J6" i="85"/>
  <c r="J7" i="85"/>
  <c r="I6" i="155"/>
  <c r="C5" i="95"/>
  <c r="J3" i="155" s="1"/>
  <c r="C7" i="95"/>
  <c r="J5" i="155" s="1"/>
  <c r="C6" i="95"/>
  <c r="J4" i="155" s="1"/>
  <c r="K6" i="155"/>
  <c r="J5" i="85"/>
  <c r="L5" i="155"/>
  <c r="H8" i="95"/>
  <c r="I5" i="95" s="1"/>
  <c r="I6" i="95" l="1"/>
  <c r="I7" i="95"/>
  <c r="J8" i="85"/>
  <c r="K5" i="85" s="1"/>
  <c r="K6" i="85" l="1"/>
  <c r="K7" i="85"/>
  <c r="E21" i="81" l="1"/>
  <c r="E42" i="81"/>
  <c r="E11" i="81"/>
  <c r="E15" i="81"/>
  <c r="E9" i="81"/>
  <c r="E17" i="81"/>
  <c r="E20" i="81"/>
  <c r="E10" i="81"/>
  <c r="E8" i="81"/>
  <c r="E18" i="81"/>
  <c r="E7" i="81"/>
  <c r="E19" i="81"/>
  <c r="E12" i="81"/>
  <c r="E16" i="81"/>
  <c r="E13" i="81"/>
  <c r="E14" i="81"/>
  <c r="B10" i="80"/>
  <c r="B21" i="80"/>
  <c r="C5" i="80" l="1"/>
  <c r="C9" i="80"/>
  <c r="C6" i="80"/>
  <c r="C8" i="80"/>
  <c r="C7" i="80"/>
  <c r="C20" i="80"/>
  <c r="C19" i="80"/>
  <c r="C16" i="80"/>
  <c r="C17" i="80"/>
  <c r="C18" i="80"/>
  <c r="C10" i="80" l="1"/>
  <c r="C21" i="80"/>
  <c r="D26" i="82"/>
  <c r="N12" i="158" s="1"/>
  <c r="D25" i="82"/>
  <c r="N11" i="158" s="1"/>
  <c r="D24" i="82"/>
  <c r="N10" i="158" s="1"/>
  <c r="D23" i="82"/>
  <c r="N9" i="158" s="1"/>
  <c r="N23" i="158" s="1"/>
  <c r="N24" i="158" l="1"/>
  <c r="N11" i="153"/>
  <c r="N12" i="153"/>
  <c r="N10" i="153"/>
  <c r="N9" i="153"/>
  <c r="F11" i="79"/>
  <c r="G9" i="79" l="1"/>
  <c r="G13" i="79"/>
  <c r="G8" i="79"/>
  <c r="G7" i="79"/>
  <c r="G10" i="79"/>
  <c r="G6" i="79"/>
  <c r="G5" i="79"/>
  <c r="G12" i="79"/>
  <c r="H15" i="85"/>
  <c r="B15" i="85"/>
  <c r="D37" i="85"/>
  <c r="D36" i="85"/>
  <c r="D35" i="85"/>
  <c r="D34" i="85"/>
  <c r="D33" i="85"/>
  <c r="D32" i="85"/>
  <c r="D31" i="85"/>
  <c r="D30" i="85"/>
  <c r="D29" i="85"/>
  <c r="D28" i="85"/>
  <c r="D27" i="85"/>
  <c r="D26" i="85"/>
  <c r="D25" i="85"/>
  <c r="D24" i="85"/>
  <c r="D23" i="85"/>
  <c r="D22" i="85"/>
  <c r="D21" i="85"/>
  <c r="D14" i="85"/>
  <c r="D13" i="85"/>
  <c r="B23" i="84"/>
  <c r="E22" i="84"/>
  <c r="E21" i="84"/>
  <c r="E20" i="84"/>
  <c r="E19" i="84"/>
  <c r="E18" i="84"/>
  <c r="E17" i="84"/>
  <c r="E11" i="84"/>
  <c r="E10" i="84"/>
  <c r="E9" i="84"/>
  <c r="E8" i="84"/>
  <c r="E7" i="84"/>
  <c r="E6" i="84"/>
  <c r="B12" i="84"/>
  <c r="D22" i="82"/>
  <c r="G21" i="82"/>
  <c r="G20" i="82"/>
  <c r="G19" i="82"/>
  <c r="G18" i="82"/>
  <c r="G17" i="82"/>
  <c r="G16" i="82"/>
  <c r="G15" i="82"/>
  <c r="G14" i="82"/>
  <c r="G13" i="82"/>
  <c r="G12" i="82"/>
  <c r="G11" i="82"/>
  <c r="G10" i="82"/>
  <c r="G9" i="82"/>
  <c r="G8" i="82"/>
  <c r="G7" i="82"/>
  <c r="G6" i="82"/>
  <c r="G20" i="81"/>
  <c r="G19" i="81"/>
  <c r="G18" i="81"/>
  <c r="G17" i="81"/>
  <c r="G16" i="81"/>
  <c r="G15" i="81"/>
  <c r="G14" i="81"/>
  <c r="G13" i="81"/>
  <c r="G12" i="81"/>
  <c r="G11" i="81"/>
  <c r="G10" i="81"/>
  <c r="G9" i="81"/>
  <c r="G8" i="81"/>
  <c r="G7" i="81"/>
  <c r="B11" i="79"/>
  <c r="G22" i="81" l="1"/>
  <c r="E40" i="85"/>
  <c r="E38" i="85"/>
  <c r="E39" i="85"/>
  <c r="I13" i="85"/>
  <c r="I14" i="85"/>
  <c r="C13" i="85"/>
  <c r="C14" i="85"/>
  <c r="C19" i="84"/>
  <c r="C21" i="84"/>
  <c r="C22" i="84"/>
  <c r="C18" i="84"/>
  <c r="C17" i="84"/>
  <c r="C20" i="84"/>
  <c r="C10" i="84"/>
  <c r="C6" i="84"/>
  <c r="C11" i="84"/>
  <c r="C9" i="84"/>
  <c r="C8" i="84"/>
  <c r="C7" i="84"/>
  <c r="E34" i="85"/>
  <c r="E30" i="85"/>
  <c r="E26" i="85"/>
  <c r="E22" i="85"/>
  <c r="E36" i="85"/>
  <c r="E28" i="85"/>
  <c r="E35" i="85"/>
  <c r="E23" i="85"/>
  <c r="E37" i="85"/>
  <c r="E33" i="85"/>
  <c r="E29" i="85"/>
  <c r="E25" i="85"/>
  <c r="E21" i="85"/>
  <c r="E32" i="85"/>
  <c r="E24" i="85"/>
  <c r="E31" i="85"/>
  <c r="E27" i="85"/>
  <c r="E10" i="82"/>
  <c r="E9" i="82"/>
  <c r="E16" i="82"/>
  <c r="E19" i="82"/>
  <c r="E20" i="82"/>
  <c r="E21" i="82"/>
  <c r="E6" i="82"/>
  <c r="E12" i="82"/>
  <c r="E15" i="82"/>
  <c r="E18" i="82"/>
  <c r="E17" i="82"/>
  <c r="E14" i="82"/>
  <c r="E8" i="82"/>
  <c r="E11" i="82"/>
  <c r="E13" i="82"/>
  <c r="E7" i="82"/>
  <c r="E25" i="82"/>
  <c r="E24" i="82"/>
  <c r="E26" i="82"/>
  <c r="E23" i="82"/>
  <c r="C5" i="79"/>
  <c r="C9" i="79"/>
  <c r="C7" i="79"/>
  <c r="C8" i="79"/>
  <c r="C10" i="79"/>
  <c r="C6" i="79"/>
  <c r="C12" i="79"/>
  <c r="C13" i="79"/>
  <c r="G26" i="82"/>
  <c r="C8" i="85"/>
  <c r="I8" i="85"/>
  <c r="G23" i="82"/>
  <c r="G24" i="82"/>
  <c r="G25" i="82"/>
  <c r="E23" i="84"/>
  <c r="F18" i="84" s="1"/>
  <c r="G11" i="79"/>
  <c r="D15" i="85"/>
  <c r="E13" i="85" s="1"/>
  <c r="E12" i="84"/>
  <c r="F9" i="84" s="1"/>
  <c r="F22" i="84" l="1"/>
  <c r="F20" i="84"/>
  <c r="F21" i="84"/>
  <c r="F19" i="84"/>
  <c r="F17" i="84"/>
  <c r="E14" i="85"/>
  <c r="F11" i="84"/>
  <c r="F7" i="84"/>
  <c r="F8" i="84"/>
  <c r="F6" i="84"/>
  <c r="F10" i="84"/>
  <c r="E8" i="85"/>
  <c r="E22" i="82"/>
  <c r="C11" i="79"/>
  <c r="G16" i="104" l="1"/>
  <c r="F16" i="104"/>
  <c r="B16" i="104"/>
  <c r="H15" i="104"/>
  <c r="K10" i="155" s="1"/>
  <c r="R12" i="155" s="1"/>
  <c r="H14" i="104"/>
  <c r="B11" i="102"/>
  <c r="D20" i="100"/>
  <c r="J19" i="100"/>
  <c r="J18" i="100"/>
  <c r="J17" i="100"/>
  <c r="J16" i="100"/>
  <c r="J15" i="100"/>
  <c r="J14" i="100"/>
  <c r="J13" i="100"/>
  <c r="J12" i="100"/>
  <c r="J11" i="100"/>
  <c r="J10" i="100"/>
  <c r="J9" i="100"/>
  <c r="J8" i="100"/>
  <c r="J7" i="100"/>
  <c r="J6" i="100"/>
  <c r="C21" i="99"/>
  <c r="B21" i="99"/>
  <c r="D20" i="99"/>
  <c r="D19" i="99"/>
  <c r="D18" i="99"/>
  <c r="D17" i="99"/>
  <c r="D16" i="99"/>
  <c r="B10" i="99"/>
  <c r="H16" i="98"/>
  <c r="G14" i="98"/>
  <c r="G15" i="98" s="1"/>
  <c r="F14" i="98"/>
  <c r="F15" i="98" s="1"/>
  <c r="B14" i="98"/>
  <c r="H42" i="95"/>
  <c r="J40" i="85" s="1"/>
  <c r="H39" i="95"/>
  <c r="J37" i="85" s="1"/>
  <c r="J31" i="155"/>
  <c r="H38" i="95"/>
  <c r="J36" i="85" s="1"/>
  <c r="J30" i="155"/>
  <c r="H37" i="95"/>
  <c r="J35" i="85" s="1"/>
  <c r="J29" i="155"/>
  <c r="H36" i="95"/>
  <c r="J34" i="85" s="1"/>
  <c r="J28" i="155"/>
  <c r="H35" i="95"/>
  <c r="J33" i="85" s="1"/>
  <c r="J27" i="155"/>
  <c r="H34" i="95"/>
  <c r="J32" i="85" s="1"/>
  <c r="J26" i="155"/>
  <c r="H33" i="95"/>
  <c r="J31" i="85" s="1"/>
  <c r="J25" i="155"/>
  <c r="H32" i="95"/>
  <c r="J30" i="85" s="1"/>
  <c r="J24" i="155"/>
  <c r="H31" i="95"/>
  <c r="J29" i="85" s="1"/>
  <c r="J23" i="155"/>
  <c r="H30" i="95"/>
  <c r="J28" i="85" s="1"/>
  <c r="J22" i="155"/>
  <c r="H29" i="95"/>
  <c r="J27" i="85" s="1"/>
  <c r="J21" i="155"/>
  <c r="H28" i="95"/>
  <c r="J26" i="85" s="1"/>
  <c r="J20" i="155"/>
  <c r="H27" i="95"/>
  <c r="J25" i="85" s="1"/>
  <c r="J19" i="155"/>
  <c r="H26" i="95"/>
  <c r="J24" i="85" s="1"/>
  <c r="J18" i="155"/>
  <c r="H25" i="95"/>
  <c r="J23" i="85" s="1"/>
  <c r="J17" i="155"/>
  <c r="H24" i="95"/>
  <c r="J22" i="85" s="1"/>
  <c r="J16" i="155"/>
  <c r="H23" i="95"/>
  <c r="J21" i="85" s="1"/>
  <c r="G16" i="95"/>
  <c r="B16" i="95"/>
  <c r="H15" i="95"/>
  <c r="H14" i="95"/>
  <c r="B11" i="93"/>
  <c r="G25" i="91"/>
  <c r="F25" i="91"/>
  <c r="B25" i="91"/>
  <c r="O7" i="158" s="1"/>
  <c r="G24" i="91"/>
  <c r="F24" i="91"/>
  <c r="B24" i="91"/>
  <c r="O6" i="158" s="1"/>
  <c r="G23" i="91"/>
  <c r="F23" i="91"/>
  <c r="B23" i="91"/>
  <c r="O5" i="158" s="1"/>
  <c r="G22" i="91"/>
  <c r="F22" i="91"/>
  <c r="B22" i="91"/>
  <c r="O4" i="158" s="1"/>
  <c r="G21" i="91"/>
  <c r="F21" i="91"/>
  <c r="B21" i="91"/>
  <c r="H20" i="91"/>
  <c r="H19" i="91"/>
  <c r="H18" i="91"/>
  <c r="H17" i="91"/>
  <c r="H16" i="91"/>
  <c r="H15" i="91"/>
  <c r="H14" i="91"/>
  <c r="H13" i="91"/>
  <c r="H12" i="91"/>
  <c r="H11" i="91"/>
  <c r="H10" i="91"/>
  <c r="H9" i="91"/>
  <c r="H8" i="91"/>
  <c r="H7" i="91"/>
  <c r="H6" i="91"/>
  <c r="H5" i="91"/>
  <c r="J17" i="90"/>
  <c r="J16" i="90"/>
  <c r="J15" i="90"/>
  <c r="J14" i="90"/>
  <c r="J13" i="90"/>
  <c r="J12" i="90"/>
  <c r="J11" i="90"/>
  <c r="J10" i="90"/>
  <c r="J9" i="90"/>
  <c r="J8" i="90"/>
  <c r="J7" i="90"/>
  <c r="J6" i="90"/>
  <c r="J5" i="90"/>
  <c r="G6" i="81"/>
  <c r="C21" i="89"/>
  <c r="B21" i="89"/>
  <c r="D20" i="89"/>
  <c r="D19" i="89"/>
  <c r="D18" i="89"/>
  <c r="D17" i="89"/>
  <c r="D16" i="89"/>
  <c r="G14" i="88"/>
  <c r="G15" i="88" s="1"/>
  <c r="H15" i="88" s="1"/>
  <c r="I15" i="88" s="1"/>
  <c r="M32" i="155" l="1"/>
  <c r="M34" i="155"/>
  <c r="M33" i="155"/>
  <c r="J21" i="90"/>
  <c r="I42" i="104"/>
  <c r="L34" i="155" s="1"/>
  <c r="I41" i="104"/>
  <c r="L33" i="155" s="1"/>
  <c r="I40" i="104"/>
  <c r="L32" i="155" s="1"/>
  <c r="J21" i="100"/>
  <c r="I41" i="95"/>
  <c r="I40" i="95"/>
  <c r="Q6" i="158"/>
  <c r="M6" i="158"/>
  <c r="P6" i="158" s="1"/>
  <c r="M5" i="158"/>
  <c r="Q5" i="158"/>
  <c r="M4" i="158"/>
  <c r="Q4" i="158"/>
  <c r="Q7" i="158"/>
  <c r="M7" i="158"/>
  <c r="P7" i="158" s="1"/>
  <c r="M15" i="155"/>
  <c r="I38" i="104"/>
  <c r="L30" i="155" s="1"/>
  <c r="I34" i="104"/>
  <c r="L26" i="155" s="1"/>
  <c r="I30" i="104"/>
  <c r="L22" i="155" s="1"/>
  <c r="I26" i="104"/>
  <c r="L18" i="155" s="1"/>
  <c r="I35" i="104"/>
  <c r="L27" i="155" s="1"/>
  <c r="I27" i="104"/>
  <c r="L19" i="155" s="1"/>
  <c r="I37" i="104"/>
  <c r="L29" i="155" s="1"/>
  <c r="I33" i="104"/>
  <c r="L25" i="155" s="1"/>
  <c r="I29" i="104"/>
  <c r="L21" i="155" s="1"/>
  <c r="I25" i="104"/>
  <c r="L17" i="155" s="1"/>
  <c r="I31" i="104"/>
  <c r="L23" i="155" s="1"/>
  <c r="I36" i="104"/>
  <c r="L28" i="155" s="1"/>
  <c r="I32" i="104"/>
  <c r="L24" i="155" s="1"/>
  <c r="I28" i="104"/>
  <c r="L20" i="155" s="1"/>
  <c r="I24" i="104"/>
  <c r="L16" i="155" s="1"/>
  <c r="I39" i="104"/>
  <c r="L31" i="155" s="1"/>
  <c r="I23" i="104"/>
  <c r="L15" i="155" s="1"/>
  <c r="C15" i="104"/>
  <c r="C14" i="104"/>
  <c r="C9" i="102"/>
  <c r="C5" i="102"/>
  <c r="C10" i="102"/>
  <c r="C6" i="102"/>
  <c r="C8" i="102"/>
  <c r="C7" i="102"/>
  <c r="E21" i="95"/>
  <c r="I37" i="95"/>
  <c r="I33" i="95"/>
  <c r="I29" i="95"/>
  <c r="I25" i="95"/>
  <c r="I35" i="95"/>
  <c r="I27" i="95"/>
  <c r="I23" i="95"/>
  <c r="I38" i="95"/>
  <c r="I30" i="95"/>
  <c r="I42" i="95"/>
  <c r="I36" i="95"/>
  <c r="I32" i="95"/>
  <c r="I28" i="95"/>
  <c r="I24" i="95"/>
  <c r="I39" i="95"/>
  <c r="I31" i="95"/>
  <c r="I34" i="95"/>
  <c r="I26" i="95"/>
  <c r="J14" i="85"/>
  <c r="I11" i="155"/>
  <c r="C14" i="95"/>
  <c r="J9" i="155" s="1"/>
  <c r="C15" i="95"/>
  <c r="J10" i="155" s="1"/>
  <c r="C9" i="93"/>
  <c r="C5" i="93"/>
  <c r="C7" i="93"/>
  <c r="C6" i="93"/>
  <c r="C8" i="93"/>
  <c r="C10" i="93"/>
  <c r="D8" i="100"/>
  <c r="D16" i="100"/>
  <c r="D11" i="100"/>
  <c r="D13" i="100"/>
  <c r="D6" i="100"/>
  <c r="D19" i="100"/>
  <c r="D10" i="100"/>
  <c r="D14" i="100"/>
  <c r="D9" i="100"/>
  <c r="D18" i="100"/>
  <c r="D12" i="100"/>
  <c r="D7" i="100"/>
  <c r="D17" i="100"/>
  <c r="D15" i="100"/>
  <c r="D5" i="100"/>
  <c r="C8" i="99"/>
  <c r="C7" i="99"/>
  <c r="C9" i="99"/>
  <c r="C6" i="99"/>
  <c r="C5" i="99"/>
  <c r="C16" i="98"/>
  <c r="C11" i="98"/>
  <c r="C10" i="98"/>
  <c r="C9" i="98"/>
  <c r="C7" i="98"/>
  <c r="C6" i="98"/>
  <c r="C8" i="98"/>
  <c r="C12" i="98"/>
  <c r="C5" i="98"/>
  <c r="C13" i="98"/>
  <c r="O4" i="153"/>
  <c r="C22" i="91"/>
  <c r="C5" i="91"/>
  <c r="C19" i="91"/>
  <c r="C14" i="91"/>
  <c r="C13" i="91"/>
  <c r="C11" i="91"/>
  <c r="C12" i="91"/>
  <c r="C8" i="91"/>
  <c r="C7" i="91"/>
  <c r="C9" i="91"/>
  <c r="C15" i="91"/>
  <c r="C10" i="91"/>
  <c r="C20" i="91"/>
  <c r="C16" i="91"/>
  <c r="C6" i="91"/>
  <c r="C18" i="91"/>
  <c r="C17" i="91"/>
  <c r="O7" i="153"/>
  <c r="C25" i="91"/>
  <c r="O6" i="153"/>
  <c r="C24" i="91"/>
  <c r="O5" i="153"/>
  <c r="C23" i="91"/>
  <c r="G31" i="81"/>
  <c r="G32" i="81"/>
  <c r="G27" i="81"/>
  <c r="G39" i="81"/>
  <c r="G28" i="81"/>
  <c r="G36" i="81"/>
  <c r="G29" i="81"/>
  <c r="G33" i="81"/>
  <c r="G37" i="81"/>
  <c r="G35" i="81"/>
  <c r="G30" i="81"/>
  <c r="G34" i="81"/>
  <c r="G38" i="81"/>
  <c r="E21" i="104"/>
  <c r="K9" i="155"/>
  <c r="M16" i="155"/>
  <c r="D4" i="155"/>
  <c r="D8" i="155"/>
  <c r="D7" i="155"/>
  <c r="D6" i="155"/>
  <c r="D5" i="155"/>
  <c r="M19" i="155"/>
  <c r="M23" i="155"/>
  <c r="M29" i="155"/>
  <c r="M18" i="155"/>
  <c r="M22" i="155"/>
  <c r="M26" i="155"/>
  <c r="M28" i="155"/>
  <c r="M20" i="155"/>
  <c r="M24" i="155"/>
  <c r="M30" i="155"/>
  <c r="M17" i="155"/>
  <c r="M21" i="155"/>
  <c r="M25" i="155"/>
  <c r="M27" i="155"/>
  <c r="M31" i="155"/>
  <c r="K20" i="100"/>
  <c r="D21" i="89"/>
  <c r="E16" i="89" s="1"/>
  <c r="C8" i="104"/>
  <c r="J13" i="85"/>
  <c r="H15" i="98"/>
  <c r="B15" i="98"/>
  <c r="C15" i="98" s="1"/>
  <c r="D21" i="99"/>
  <c r="E16" i="99" s="1"/>
  <c r="H25" i="91"/>
  <c r="O12" i="158" s="1"/>
  <c r="H21" i="91"/>
  <c r="I8" i="91" s="1"/>
  <c r="H23" i="91"/>
  <c r="O10" i="158" s="1"/>
  <c r="H16" i="104"/>
  <c r="I14" i="104" s="1"/>
  <c r="H14" i="98"/>
  <c r="H16" i="95"/>
  <c r="I15" i="95" s="1"/>
  <c r="H22" i="91"/>
  <c r="O9" i="158" s="1"/>
  <c r="H24" i="91"/>
  <c r="O11" i="158" s="1"/>
  <c r="G43" i="81" l="1"/>
  <c r="N32" i="155"/>
  <c r="D21" i="100"/>
  <c r="N33" i="155"/>
  <c r="K39" i="85"/>
  <c r="K38" i="85"/>
  <c r="N34" i="155"/>
  <c r="N15" i="155"/>
  <c r="K40" i="85"/>
  <c r="K5" i="100"/>
  <c r="M10" i="158"/>
  <c r="Q10" i="158"/>
  <c r="M11" i="158"/>
  <c r="P11" i="158" s="1"/>
  <c r="Q11" i="158"/>
  <c r="M9" i="158"/>
  <c r="Q9" i="158"/>
  <c r="Q12" i="158"/>
  <c r="M12" i="158"/>
  <c r="P12" i="158" s="1"/>
  <c r="P5" i="158"/>
  <c r="M21" i="158"/>
  <c r="P4" i="158"/>
  <c r="M20" i="158"/>
  <c r="K17" i="90"/>
  <c r="K20" i="90"/>
  <c r="M7" i="153"/>
  <c r="P7" i="153" s="1"/>
  <c r="Q7" i="153"/>
  <c r="M6" i="153"/>
  <c r="P6" i="153" s="1"/>
  <c r="Q6" i="153"/>
  <c r="M4" i="153"/>
  <c r="P4" i="153" s="1"/>
  <c r="Q4" i="153"/>
  <c r="M5" i="153"/>
  <c r="P5" i="153" s="1"/>
  <c r="Q5" i="153"/>
  <c r="E19" i="89"/>
  <c r="E18" i="89"/>
  <c r="E17" i="89"/>
  <c r="E20" i="89"/>
  <c r="N16" i="155"/>
  <c r="K11" i="155"/>
  <c r="I15" i="104"/>
  <c r="L10" i="155" s="1"/>
  <c r="C11" i="102"/>
  <c r="I14" i="95"/>
  <c r="K34" i="85"/>
  <c r="K30" i="85"/>
  <c r="K26" i="85"/>
  <c r="K22" i="85"/>
  <c r="K32" i="85"/>
  <c r="K24" i="85"/>
  <c r="K31" i="85"/>
  <c r="K27" i="85"/>
  <c r="K37" i="85"/>
  <c r="K33" i="85"/>
  <c r="K29" i="85"/>
  <c r="K25" i="85"/>
  <c r="K21" i="85"/>
  <c r="K36" i="85"/>
  <c r="K28" i="85"/>
  <c r="K35" i="85"/>
  <c r="K23" i="85"/>
  <c r="K8" i="100"/>
  <c r="K14" i="100"/>
  <c r="K17" i="100"/>
  <c r="K11" i="100"/>
  <c r="K10" i="100"/>
  <c r="K15" i="100"/>
  <c r="K16" i="100"/>
  <c r="K9" i="100"/>
  <c r="K7" i="100"/>
  <c r="K6" i="100"/>
  <c r="K12" i="100"/>
  <c r="K19" i="100"/>
  <c r="K18" i="100"/>
  <c r="K13" i="100"/>
  <c r="E18" i="99"/>
  <c r="E20" i="99"/>
  <c r="E19" i="99"/>
  <c r="E17" i="99"/>
  <c r="I16" i="98"/>
  <c r="I8" i="98"/>
  <c r="I5" i="98"/>
  <c r="I10" i="98"/>
  <c r="I13" i="98"/>
  <c r="I7" i="98"/>
  <c r="I6" i="98"/>
  <c r="I11" i="98"/>
  <c r="I12" i="98"/>
  <c r="I9" i="98"/>
  <c r="I15" i="98"/>
  <c r="O12" i="153"/>
  <c r="Q12" i="153" s="1"/>
  <c r="I25" i="91"/>
  <c r="I19" i="91"/>
  <c r="I10" i="91"/>
  <c r="I17" i="91"/>
  <c r="I20" i="91"/>
  <c r="O10" i="153"/>
  <c r="I23" i="91"/>
  <c r="I15" i="91"/>
  <c r="I6" i="91"/>
  <c r="I13" i="91"/>
  <c r="I16" i="91"/>
  <c r="O11" i="153"/>
  <c r="I24" i="91"/>
  <c r="I11" i="91"/>
  <c r="I18" i="91"/>
  <c r="I9" i="91"/>
  <c r="I12" i="91"/>
  <c r="O9" i="153"/>
  <c r="Q9" i="153" s="1"/>
  <c r="I22" i="91"/>
  <c r="I7" i="91"/>
  <c r="I14" i="91"/>
  <c r="I5" i="91"/>
  <c r="K14" i="90"/>
  <c r="K12" i="90"/>
  <c r="K11" i="90"/>
  <c r="K13" i="90"/>
  <c r="K19" i="90"/>
  <c r="K18" i="90"/>
  <c r="K16" i="90"/>
  <c r="K8" i="90"/>
  <c r="K15" i="90"/>
  <c r="K7" i="90"/>
  <c r="K6" i="90"/>
  <c r="K5" i="90"/>
  <c r="K9" i="90"/>
  <c r="K10" i="90"/>
  <c r="N21" i="155"/>
  <c r="N28" i="155"/>
  <c r="N26" i="155"/>
  <c r="N17" i="155"/>
  <c r="N18" i="155"/>
  <c r="N29" i="155"/>
  <c r="R11" i="155"/>
  <c r="E3" i="155"/>
  <c r="N25" i="155"/>
  <c r="N22" i="155"/>
  <c r="N23" i="155"/>
  <c r="N19" i="155"/>
  <c r="N24" i="155"/>
  <c r="N20" i="155"/>
  <c r="N31" i="155"/>
  <c r="F6" i="155"/>
  <c r="F4" i="155"/>
  <c r="F8" i="155"/>
  <c r="F5" i="155"/>
  <c r="F7" i="155"/>
  <c r="N30" i="155"/>
  <c r="N27" i="155"/>
  <c r="C7" i="155"/>
  <c r="C4" i="155"/>
  <c r="C8" i="155"/>
  <c r="C5" i="155"/>
  <c r="C6" i="155"/>
  <c r="L9" i="155"/>
  <c r="I8" i="104"/>
  <c r="L6" i="155" s="1"/>
  <c r="C8" i="95"/>
  <c r="J6" i="155" s="1"/>
  <c r="I8" i="95"/>
  <c r="J15" i="85"/>
  <c r="K14" i="85" s="1"/>
  <c r="C16" i="104"/>
  <c r="C16" i="95"/>
  <c r="J11" i="155" s="1"/>
  <c r="C11" i="93"/>
  <c r="C21" i="91"/>
  <c r="D5" i="90"/>
  <c r="C10" i="99"/>
  <c r="C14" i="98"/>
  <c r="C14" i="88"/>
  <c r="K21" i="90" l="1"/>
  <c r="K21" i="100"/>
  <c r="P9" i="158"/>
  <c r="M23" i="158"/>
  <c r="P10" i="158"/>
  <c r="M24" i="158"/>
  <c r="O20" i="158"/>
  <c r="Q20" i="158" s="1"/>
  <c r="O21" i="158"/>
  <c r="Q21" i="158" s="1"/>
  <c r="M12" i="153"/>
  <c r="P12" i="153" s="1"/>
  <c r="M10" i="153"/>
  <c r="P10" i="153" s="1"/>
  <c r="Q10" i="153"/>
  <c r="M11" i="153"/>
  <c r="P11" i="153" s="1"/>
  <c r="Q11" i="153"/>
  <c r="M9" i="153"/>
  <c r="P9" i="153" s="1"/>
  <c r="K13" i="85"/>
  <c r="E6" i="155"/>
  <c r="E4" i="155"/>
  <c r="R13" i="155"/>
  <c r="E8" i="155"/>
  <c r="E5" i="155"/>
  <c r="E7" i="155"/>
  <c r="K8" i="85"/>
  <c r="E21" i="99"/>
  <c r="I16" i="104"/>
  <c r="L11" i="155" s="1"/>
  <c r="I14" i="98"/>
  <c r="I16" i="95"/>
  <c r="I21" i="91"/>
  <c r="I14" i="88"/>
  <c r="E21" i="89"/>
  <c r="P20" i="158" l="1"/>
  <c r="P21" i="158"/>
  <c r="S12" i="155"/>
  <c r="S13" i="155"/>
  <c r="S11" i="155"/>
  <c r="S9" i="155"/>
  <c r="S10" i="155"/>
  <c r="O24" i="158"/>
  <c r="Q24" i="158" s="1"/>
  <c r="O23" i="158"/>
  <c r="Q23" i="158" s="1"/>
  <c r="K15" i="85"/>
  <c r="P23" i="158" l="1"/>
  <c r="P24" i="158"/>
  <c r="G22" i="82"/>
  <c r="H43" i="81"/>
  <c r="H21" i="81" l="1"/>
  <c r="H42" i="81"/>
  <c r="E30" i="81"/>
  <c r="E39" i="81"/>
  <c r="E31" i="81"/>
  <c r="E32" i="81"/>
  <c r="E36" i="81"/>
  <c r="E29" i="81"/>
  <c r="E38" i="81"/>
  <c r="E37" i="81"/>
  <c r="E33" i="81"/>
  <c r="E35" i="81"/>
  <c r="E28" i="81"/>
  <c r="E40" i="81"/>
  <c r="E34" i="81"/>
  <c r="E41" i="81"/>
  <c r="H20" i="82"/>
  <c r="H9" i="82"/>
  <c r="H7" i="82"/>
  <c r="H6" i="82"/>
  <c r="H14" i="82"/>
  <c r="H21" i="82"/>
  <c r="H11" i="82"/>
  <c r="H13" i="82"/>
  <c r="H15" i="82"/>
  <c r="H10" i="82"/>
  <c r="H19" i="82"/>
  <c r="H17" i="82"/>
  <c r="H8" i="82"/>
  <c r="H16" i="82"/>
  <c r="H12" i="82"/>
  <c r="H18" i="82"/>
  <c r="H25" i="82"/>
  <c r="H23" i="82"/>
  <c r="H24" i="82"/>
  <c r="H26" i="82"/>
  <c r="H14" i="81"/>
  <c r="H10" i="81"/>
  <c r="H18" i="81"/>
  <c r="H13" i="81"/>
  <c r="H7" i="81"/>
  <c r="H8" i="81"/>
  <c r="H11" i="81"/>
  <c r="H15" i="81"/>
  <c r="H16" i="81"/>
  <c r="H12" i="81"/>
  <c r="H19" i="81"/>
  <c r="H9" i="81"/>
  <c r="H17" i="81"/>
  <c r="H20" i="81"/>
  <c r="H41" i="81"/>
  <c r="H40" i="81"/>
  <c r="H39" i="81"/>
  <c r="H36" i="81"/>
  <c r="H37" i="81"/>
  <c r="H31" i="81"/>
  <c r="H35" i="81"/>
  <c r="H30" i="81"/>
  <c r="H28" i="81"/>
  <c r="H29" i="81"/>
  <c r="H34" i="81"/>
  <c r="H32" i="81"/>
  <c r="H33" i="81"/>
  <c r="H38" i="81"/>
  <c r="C12" i="84"/>
  <c r="C23" i="84"/>
  <c r="C15" i="85"/>
  <c r="I15" i="85"/>
  <c r="E15" i="85"/>
  <c r="C22" i="82"/>
  <c r="F23" i="84" l="1"/>
  <c r="E27" i="81"/>
  <c r="E6" i="81"/>
  <c r="E22" i="81"/>
  <c r="F12" i="84"/>
  <c r="H22" i="82"/>
  <c r="H27" i="81"/>
  <c r="H6" i="81"/>
  <c r="H22" i="81"/>
  <c r="E43" i="81"/>
  <c r="C7" i="89" l="1"/>
  <c r="C5" i="89"/>
  <c r="C6" i="89"/>
  <c r="C9" i="89"/>
  <c r="C8" i="89"/>
  <c r="C10" i="89" l="1"/>
  <c r="J5" i="160"/>
  <c r="J7" i="160"/>
  <c r="J9" i="160"/>
  <c r="J11" i="160"/>
  <c r="J13" i="160"/>
  <c r="B13" i="160"/>
  <c r="J15" i="160" l="1"/>
  <c r="B7" i="160"/>
  <c r="B11" i="160"/>
  <c r="B9" i="160"/>
  <c r="B15" i="160" l="1"/>
</calcChain>
</file>

<file path=xl/sharedStrings.xml><?xml version="1.0" encoding="utf-8"?>
<sst xmlns="http://schemas.openxmlformats.org/spreadsheetml/2006/main" count="4640" uniqueCount="654">
  <si>
    <t>人数</t>
    <rPh sb="0" eb="2">
      <t>ニンズウ</t>
    </rPh>
    <phoneticPr fontId="2"/>
  </si>
  <si>
    <t>割合</t>
    <rPh sb="0" eb="2">
      <t>ワリアイ</t>
    </rPh>
    <phoneticPr fontId="2"/>
  </si>
  <si>
    <t>19歳以下</t>
  </si>
  <si>
    <t>20歳代</t>
  </si>
  <si>
    <t>30歳代</t>
  </si>
  <si>
    <t>40歳代</t>
  </si>
  <si>
    <t>50歳代</t>
  </si>
  <si>
    <t>60歳代</t>
  </si>
  <si>
    <t>70歳代</t>
  </si>
  <si>
    <t>80歳代</t>
  </si>
  <si>
    <t>90歳以上</t>
  </si>
  <si>
    <t>総計</t>
    <rPh sb="0" eb="2">
      <t>ソウケイ</t>
    </rPh>
    <phoneticPr fontId="2"/>
  </si>
  <si>
    <t>計</t>
    <rPh sb="0" eb="1">
      <t>ケイ</t>
    </rPh>
    <phoneticPr fontId="2"/>
  </si>
  <si>
    <t>〔全状態像〕</t>
    <rPh sb="1" eb="2">
      <t>ゼン</t>
    </rPh>
    <rPh sb="2" eb="4">
      <t>ジョウタイ</t>
    </rPh>
    <rPh sb="4" eb="5">
      <t>ゾウ</t>
    </rPh>
    <phoneticPr fontId="2"/>
  </si>
  <si>
    <t>措置入院・緊急措置入院</t>
  </si>
  <si>
    <t>医療保護入院</t>
  </si>
  <si>
    <t>任意入院</t>
  </si>
  <si>
    <t>応急入院</t>
  </si>
  <si>
    <t>その他</t>
  </si>
  <si>
    <t>アルツハイマー病の認知症・血管性認知症以外の、
症状性を含む器質性精神障害（F02-F09）</t>
  </si>
  <si>
    <t>精神作用物質使用による精神及び行動の障害（F1）</t>
  </si>
  <si>
    <t>統合失調症、統合失調症型障害及び妄想性障害（F2）</t>
  </si>
  <si>
    <t>気分（感情）障害（F3）</t>
  </si>
  <si>
    <t>心理的発達の障害（F8）</t>
  </si>
  <si>
    <t>神経症性障害、ストレス関連障害及び身体表現性障害（F4）</t>
    <phoneticPr fontId="2"/>
  </si>
  <si>
    <t>生理的障害及び身体的要因に関連した行動症候群（F5）</t>
    <phoneticPr fontId="2"/>
  </si>
  <si>
    <t>2年～3年未満</t>
    <phoneticPr fontId="2"/>
  </si>
  <si>
    <t>3年～4年未満</t>
    <phoneticPr fontId="2"/>
  </si>
  <si>
    <t>寛解</t>
  </si>
  <si>
    <t>院内寛解</t>
  </si>
  <si>
    <t>軽度</t>
  </si>
  <si>
    <t>中等度</t>
  </si>
  <si>
    <t>重度</t>
  </si>
  <si>
    <t>最重度</t>
  </si>
  <si>
    <t>退院阻害要因がある</t>
    <rPh sb="0" eb="2">
      <t>タイイン</t>
    </rPh>
    <rPh sb="2" eb="4">
      <t>ソガイ</t>
    </rPh>
    <rPh sb="4" eb="6">
      <t>ヨウイン</t>
    </rPh>
    <phoneticPr fontId="2"/>
  </si>
  <si>
    <t>退院阻害要因はない</t>
  </si>
  <si>
    <t>退院予定</t>
  </si>
  <si>
    <t>回答数</t>
    <rPh sb="0" eb="2">
      <t>カイトウ</t>
    </rPh>
    <rPh sb="2" eb="3">
      <t>スウ</t>
    </rPh>
    <phoneticPr fontId="2"/>
  </si>
  <si>
    <t>反社会的行動が予測される</t>
  </si>
  <si>
    <t>退院意欲が乏しい</t>
  </si>
  <si>
    <t>現実認識が乏しい</t>
  </si>
  <si>
    <t>退院による環境変化への不安が強い</t>
  </si>
  <si>
    <t>援助者との対人関係がもてない</t>
  </si>
  <si>
    <t>家事（食事・洗濯・金銭管理など）ができない</t>
  </si>
  <si>
    <t>家族がいない、本人をサポートする機能が実質ない</t>
  </si>
  <si>
    <t>家族から退院に反対がある</t>
  </si>
  <si>
    <t>住まいの確保ができない</t>
  </si>
  <si>
    <t>生活費の確保ができない</t>
  </si>
  <si>
    <t>日常生活を支える制度がない</t>
  </si>
  <si>
    <t>救急診療体制がない</t>
  </si>
  <si>
    <t>退院に向けてサポートする人的資源が乏しい</t>
  </si>
  <si>
    <t>退院後サポート・マネジメントする人的資源が乏しい</t>
  </si>
  <si>
    <t>住所地と入院先の距離があり支援体制をとりにくい</t>
  </si>
  <si>
    <t>その他の退院阻害要因がある</t>
  </si>
  <si>
    <t>【退院阻害要因の有無】</t>
    <phoneticPr fontId="2"/>
  </si>
  <si>
    <t>【退院阻害要因（複数回答）】</t>
    <phoneticPr fontId="2"/>
  </si>
  <si>
    <t>1年未満（再掲）</t>
    <rPh sb="5" eb="7">
      <t>サイケイ</t>
    </rPh>
    <phoneticPr fontId="2"/>
  </si>
  <si>
    <t>1年以上5年未満（再掲）</t>
    <rPh sb="2" eb="4">
      <t>イジョウ</t>
    </rPh>
    <rPh sb="9" eb="11">
      <t>サイケイ</t>
    </rPh>
    <phoneticPr fontId="2"/>
  </si>
  <si>
    <t>5年以上10年未満（再掲）</t>
    <rPh sb="1" eb="2">
      <t>ネン</t>
    </rPh>
    <rPh sb="2" eb="4">
      <t>イジョウ</t>
    </rPh>
    <rPh sb="10" eb="12">
      <t>サイケイ</t>
    </rPh>
    <phoneticPr fontId="2"/>
  </si>
  <si>
    <t>10年以上（再掲）</t>
    <rPh sb="6" eb="8">
      <t>サイケイ</t>
    </rPh>
    <phoneticPr fontId="2"/>
  </si>
  <si>
    <t>1ヶ月未満</t>
  </si>
  <si>
    <t>20年以上</t>
  </si>
  <si>
    <t>合計</t>
    <rPh sb="0" eb="2">
      <t>ゴウケイ</t>
    </rPh>
    <phoneticPr fontId="2"/>
  </si>
  <si>
    <t>データ貼り付け箇所</t>
    <rPh sb="3" eb="4">
      <t>ハ</t>
    </rPh>
    <rPh sb="5" eb="6">
      <t>ツ</t>
    </rPh>
    <rPh sb="7" eb="9">
      <t>カショ</t>
    </rPh>
    <phoneticPr fontId="2"/>
  </si>
  <si>
    <t>在院期間区分</t>
    <rPh sb="0" eb="2">
      <t>ザイイン</t>
    </rPh>
    <rPh sb="2" eb="4">
      <t>キカン</t>
    </rPh>
    <rPh sb="4" eb="6">
      <t>クブン</t>
    </rPh>
    <phoneticPr fontId="2"/>
  </si>
  <si>
    <t>年齢階層</t>
    <rPh sb="0" eb="2">
      <t>ネンレイ</t>
    </rPh>
    <rPh sb="2" eb="4">
      <t>カイソウ</t>
    </rPh>
    <phoneticPr fontId="2"/>
  </si>
  <si>
    <t>病識がなく通院服薬の中断が予測される</t>
    <phoneticPr fontId="2"/>
  </si>
  <si>
    <t>てんかん（症状性を含む器質性障害(F0)に属さないもの）</t>
  </si>
  <si>
    <t>アルツハイマー病の認知症・血管性認知症以外の、症状性を含む器質性精神障害（F02-F09）</t>
  </si>
  <si>
    <t>1年未満</t>
    <phoneticPr fontId="2"/>
  </si>
  <si>
    <t>1年以上
5年未満</t>
    <phoneticPr fontId="2"/>
  </si>
  <si>
    <t>5年以上
10年未満</t>
    <phoneticPr fontId="2"/>
  </si>
  <si>
    <t>10年以上</t>
    <phoneticPr fontId="2"/>
  </si>
  <si>
    <t>統合失調症、統合失調症型障害及び妄想性障害（F2）</t>
    <phoneticPr fontId="2"/>
  </si>
  <si>
    <t>【年齢階層×在院期間区分】〔統合失調症、統合失調症型障害及び妄想性障害（F2）〕</t>
    <rPh sb="14" eb="19">
      <t>トウゴウシッチョウショウ</t>
    </rPh>
    <rPh sb="20" eb="25">
      <t>トウゴウシッチョウショウ</t>
    </rPh>
    <rPh sb="25" eb="26">
      <t>ガタ</t>
    </rPh>
    <rPh sb="26" eb="28">
      <t>ショウガイ</t>
    </rPh>
    <rPh sb="28" eb="29">
      <t>オヨ</t>
    </rPh>
    <rPh sb="30" eb="33">
      <t>モウソウセイ</t>
    </rPh>
    <rPh sb="33" eb="35">
      <t>ショウガイ</t>
    </rPh>
    <phoneticPr fontId="2"/>
  </si>
  <si>
    <t>【年齢階層×在院期間区分】〔統合失調症、統合失調症型障害及び妄想性障害（F2）〕&amp;〔寛解・院内寛解群〕</t>
    <rPh sb="14" eb="19">
      <t>トウゴウシッチョウショウ</t>
    </rPh>
    <rPh sb="20" eb="25">
      <t>トウゴウシッチョウショウ</t>
    </rPh>
    <rPh sb="25" eb="26">
      <t>ガタ</t>
    </rPh>
    <rPh sb="26" eb="28">
      <t>ショウガイ</t>
    </rPh>
    <rPh sb="28" eb="29">
      <t>オヨ</t>
    </rPh>
    <rPh sb="30" eb="33">
      <t>モウソウセイ</t>
    </rPh>
    <rPh sb="33" eb="35">
      <t>ショウガイ</t>
    </rPh>
    <phoneticPr fontId="2"/>
  </si>
  <si>
    <t>気分（感情）障害（F3）</t>
    <phoneticPr fontId="2"/>
  </si>
  <si>
    <t>【退院阻害要因×年齢階層】</t>
    <rPh sb="1" eb="3">
      <t>タイイン</t>
    </rPh>
    <rPh sb="3" eb="5">
      <t>ソガイ</t>
    </rPh>
    <rPh sb="5" eb="7">
      <t>ヨウイン</t>
    </rPh>
    <rPh sb="8" eb="10">
      <t>ネンレイ</t>
    </rPh>
    <rPh sb="10" eb="12">
      <t>カイソウ</t>
    </rPh>
    <phoneticPr fontId="2"/>
  </si>
  <si>
    <t>【退院阻害要因×在院期間区分】</t>
    <rPh sb="1" eb="3">
      <t>タイイン</t>
    </rPh>
    <rPh sb="3" eb="5">
      <t>ソガイ</t>
    </rPh>
    <rPh sb="5" eb="7">
      <t>ヨウイン</t>
    </rPh>
    <rPh sb="8" eb="10">
      <t>ザイイン</t>
    </rPh>
    <rPh sb="10" eb="12">
      <t>キカン</t>
    </rPh>
    <rPh sb="12" eb="14">
      <t>クブン</t>
    </rPh>
    <phoneticPr fontId="2"/>
  </si>
  <si>
    <t>【退院阻害要因×在院期間区分】〔寛解・院内寛解群〕</t>
    <rPh sb="16" eb="18">
      <t>カンカイ</t>
    </rPh>
    <rPh sb="19" eb="21">
      <t>インナイ</t>
    </rPh>
    <rPh sb="21" eb="23">
      <t>カンカイ</t>
    </rPh>
    <rPh sb="23" eb="24">
      <t>グン</t>
    </rPh>
    <phoneticPr fontId="2"/>
  </si>
  <si>
    <t>【退院阻害要因×疾患名区分（F0,F2,F3）】</t>
    <rPh sb="1" eb="3">
      <t>タイイン</t>
    </rPh>
    <rPh sb="3" eb="5">
      <t>ソガイ</t>
    </rPh>
    <rPh sb="5" eb="7">
      <t>ヨウイン</t>
    </rPh>
    <rPh sb="8" eb="10">
      <t>シッカン</t>
    </rPh>
    <rPh sb="10" eb="11">
      <t>メイ</t>
    </rPh>
    <rPh sb="11" eb="13">
      <t>クブン</t>
    </rPh>
    <phoneticPr fontId="2"/>
  </si>
  <si>
    <t>疾患名区分</t>
    <rPh sb="0" eb="2">
      <t>シッカン</t>
    </rPh>
    <rPh sb="2" eb="3">
      <t>メイ</t>
    </rPh>
    <rPh sb="3" eb="5">
      <t>クブン</t>
    </rPh>
    <phoneticPr fontId="2"/>
  </si>
  <si>
    <t>【退院阻害要因×疾患名区分（F0,F2,F3）】〔寛解・院内寛解群〕</t>
    <rPh sb="25" eb="27">
      <t>カンカイ</t>
    </rPh>
    <rPh sb="28" eb="30">
      <t>インナイ</t>
    </rPh>
    <rPh sb="30" eb="32">
      <t>カンカイ</t>
    </rPh>
    <rPh sb="32" eb="33">
      <t>グン</t>
    </rPh>
    <phoneticPr fontId="2"/>
  </si>
  <si>
    <t>心理的発達の障害（F8）</t>
    <phoneticPr fontId="2"/>
  </si>
  <si>
    <t>【年齢区分（在院期間１年以上）】</t>
    <rPh sb="6" eb="8">
      <t>ザイイン</t>
    </rPh>
    <rPh sb="8" eb="10">
      <t>キカン</t>
    </rPh>
    <rPh sb="11" eb="12">
      <t>ネン</t>
    </rPh>
    <rPh sb="12" eb="14">
      <t>イジョウ</t>
    </rPh>
    <phoneticPr fontId="2"/>
  </si>
  <si>
    <t>【退院阻害要因の有無（在院期間１年以上）】</t>
    <phoneticPr fontId="2"/>
  </si>
  <si>
    <t>【退院阻害要因（複数回答）（在院期間１年以上）】</t>
    <phoneticPr fontId="2"/>
  </si>
  <si>
    <t>【退院阻害要因×年齢階層】〔寛解・院内寛解群〕</t>
    <rPh sb="14" eb="16">
      <t>カンカイ</t>
    </rPh>
    <rPh sb="17" eb="19">
      <t>インナイ</t>
    </rPh>
    <rPh sb="19" eb="21">
      <t>カンカイ</t>
    </rPh>
    <rPh sb="21" eb="22">
      <t>グン</t>
    </rPh>
    <phoneticPr fontId="2"/>
  </si>
  <si>
    <t>65歳以上</t>
    <rPh sb="2" eb="5">
      <t>サイイジョウ</t>
    </rPh>
    <phoneticPr fontId="2"/>
  </si>
  <si>
    <t>65歳以上（再掲）</t>
    <rPh sb="2" eb="3">
      <t>サイ</t>
    </rPh>
    <rPh sb="3" eb="5">
      <t>イジョウ</t>
    </rPh>
    <rPh sb="6" eb="8">
      <t>サイケイ</t>
    </rPh>
    <phoneticPr fontId="2"/>
  </si>
  <si>
    <t>65歳未満（再掲）</t>
    <rPh sb="2" eb="3">
      <t>サイ</t>
    </rPh>
    <rPh sb="3" eb="5">
      <t>ミマン</t>
    </rPh>
    <rPh sb="6" eb="8">
      <t>サイケイ</t>
    </rPh>
    <phoneticPr fontId="2"/>
  </si>
  <si>
    <t>65歳以上（再掲）</t>
    <rPh sb="2" eb="5">
      <t>サイイジョウ</t>
    </rPh>
    <rPh sb="6" eb="8">
      <t>サイケイ</t>
    </rPh>
    <phoneticPr fontId="2"/>
  </si>
  <si>
    <t>65歳未満（再掲）</t>
    <rPh sb="2" eb="5">
      <t>サイミマン</t>
    </rPh>
    <rPh sb="6" eb="8">
      <t>サイケイ</t>
    </rPh>
    <phoneticPr fontId="2"/>
  </si>
  <si>
    <t>65歳未満（再掲）</t>
    <rPh sb="3" eb="5">
      <t>ミマン</t>
    </rPh>
    <rPh sb="6" eb="8">
      <t>サイケイ</t>
    </rPh>
    <phoneticPr fontId="2"/>
  </si>
  <si>
    <t>65歳～69歳</t>
    <rPh sb="2" eb="3">
      <t>サイ</t>
    </rPh>
    <rPh sb="6" eb="7">
      <t>サイ</t>
    </rPh>
    <phoneticPr fontId="2"/>
  </si>
  <si>
    <t>70歳～74歳</t>
    <rPh sb="2" eb="3">
      <t>サイ</t>
    </rPh>
    <rPh sb="6" eb="7">
      <t>サイ</t>
    </rPh>
    <phoneticPr fontId="2"/>
  </si>
  <si>
    <t>75歳～79歳</t>
    <rPh sb="2" eb="3">
      <t>サイ</t>
    </rPh>
    <rPh sb="6" eb="7">
      <t>サイ</t>
    </rPh>
    <phoneticPr fontId="2"/>
  </si>
  <si>
    <t>80歳～84歳</t>
    <rPh sb="2" eb="3">
      <t>サイ</t>
    </rPh>
    <rPh sb="6" eb="7">
      <t>サイ</t>
    </rPh>
    <phoneticPr fontId="2"/>
  </si>
  <si>
    <t>85歳～89歳</t>
    <rPh sb="2" eb="3">
      <t>サイ</t>
    </rPh>
    <rPh sb="6" eb="7">
      <t>サイ</t>
    </rPh>
    <phoneticPr fontId="2"/>
  </si>
  <si>
    <t>措置入院・緊急措置入院</t>
    <rPh sb="0" eb="2">
      <t>ソチ</t>
    </rPh>
    <rPh sb="2" eb="4">
      <t>ニュウイン</t>
    </rPh>
    <rPh sb="5" eb="7">
      <t>キンキュウ</t>
    </rPh>
    <rPh sb="7" eb="9">
      <t>ソチ</t>
    </rPh>
    <rPh sb="9" eb="11">
      <t>ニュウイン</t>
    </rPh>
    <phoneticPr fontId="2"/>
  </si>
  <si>
    <t>医療保護入院</t>
    <rPh sb="0" eb="2">
      <t>イリョウ</t>
    </rPh>
    <rPh sb="2" eb="4">
      <t>ホゴ</t>
    </rPh>
    <rPh sb="4" eb="6">
      <t>ニュウイン</t>
    </rPh>
    <phoneticPr fontId="2"/>
  </si>
  <si>
    <t>任意入院</t>
    <rPh sb="0" eb="2">
      <t>ニンイ</t>
    </rPh>
    <rPh sb="2" eb="4">
      <t>ニュウイン</t>
    </rPh>
    <phoneticPr fontId="2"/>
  </si>
  <si>
    <t>応急入院</t>
    <rPh sb="0" eb="2">
      <t>オウキュウ</t>
    </rPh>
    <rPh sb="2" eb="4">
      <t>ニュウイン</t>
    </rPh>
    <phoneticPr fontId="2"/>
  </si>
  <si>
    <t>その他</t>
    <rPh sb="2" eb="3">
      <t>タ</t>
    </rPh>
    <phoneticPr fontId="2"/>
  </si>
  <si>
    <t>うち寛解・院内寛解群</t>
    <rPh sb="2" eb="4">
      <t>カンカイ</t>
    </rPh>
    <rPh sb="5" eb="7">
      <t>インナイ</t>
    </rPh>
    <rPh sb="7" eb="9">
      <t>カンカイ</t>
    </rPh>
    <rPh sb="9" eb="10">
      <t>グン</t>
    </rPh>
    <phoneticPr fontId="2"/>
  </si>
  <si>
    <t>(再掲：患者全体)</t>
    <rPh sb="1" eb="3">
      <t>サイケイ</t>
    </rPh>
    <rPh sb="4" eb="6">
      <t>カンジャ</t>
    </rPh>
    <rPh sb="6" eb="8">
      <t>ゼンタイ</t>
    </rPh>
    <phoneticPr fontId="2"/>
  </si>
  <si>
    <t>血管性認知症を含む器質性精神障害（F01）</t>
    <phoneticPr fontId="2"/>
  </si>
  <si>
    <t>神経症性障害、ストレス関連障害及び身体表現性障害（F4）</t>
    <phoneticPr fontId="2"/>
  </si>
  <si>
    <t>生理的障害及び身体的要因に関連した行動症候群（F5）</t>
    <phoneticPr fontId="2"/>
  </si>
  <si>
    <t>65歳以上全体</t>
    <rPh sb="2" eb="5">
      <t>サイイジョウ</t>
    </rPh>
    <rPh sb="5" eb="7">
      <t>ゼンタイ</t>
    </rPh>
    <phoneticPr fontId="2"/>
  </si>
  <si>
    <t xml:space="preserve">退院阻害要因がある  </t>
    <rPh sb="0" eb="2">
      <t>タイイン</t>
    </rPh>
    <rPh sb="2" eb="4">
      <t>ソガイ</t>
    </rPh>
    <rPh sb="4" eb="6">
      <t>ヨウイン</t>
    </rPh>
    <phoneticPr fontId="2"/>
  </si>
  <si>
    <t>退院阻害要因はない</t>
    <phoneticPr fontId="2"/>
  </si>
  <si>
    <t>【年齢区分】</t>
    <phoneticPr fontId="2"/>
  </si>
  <si>
    <t>〔寛解・院内寛解群〕</t>
    <phoneticPr fontId="2"/>
  </si>
  <si>
    <t>寛解</t>
    <phoneticPr fontId="2"/>
  </si>
  <si>
    <t>寛解</t>
    <phoneticPr fontId="2"/>
  </si>
  <si>
    <t>院内寛解</t>
    <phoneticPr fontId="2"/>
  </si>
  <si>
    <t>院内寛解</t>
    <phoneticPr fontId="2"/>
  </si>
  <si>
    <t>【入院形態区分】</t>
    <phoneticPr fontId="2"/>
  </si>
  <si>
    <t>【疾患名区分】</t>
    <phoneticPr fontId="2"/>
  </si>
  <si>
    <t>症状性を含む器質性精神障害（F0）</t>
    <phoneticPr fontId="2"/>
  </si>
  <si>
    <t>アルツハイマー病の認知症を含む器質性精神障害（F00）</t>
    <phoneticPr fontId="2"/>
  </si>
  <si>
    <t>血管性認知症を含む器質性精神障害（F01）</t>
    <phoneticPr fontId="2"/>
  </si>
  <si>
    <t>てんかん（症状性を含む器質性障害(F0)に属さないもの）</t>
    <phoneticPr fontId="2"/>
  </si>
  <si>
    <t>【在院期間区分】</t>
    <phoneticPr fontId="2"/>
  </si>
  <si>
    <t>〔寛解・院内寛解群〕</t>
    <phoneticPr fontId="2"/>
  </si>
  <si>
    <t>寛解</t>
    <phoneticPr fontId="2"/>
  </si>
  <si>
    <t>院内寛解</t>
    <phoneticPr fontId="2"/>
  </si>
  <si>
    <t>1ヶ月未満</t>
    <phoneticPr fontId="2"/>
  </si>
  <si>
    <t>1ヶ月～3ヶ月未満</t>
    <phoneticPr fontId="2"/>
  </si>
  <si>
    <t>1ヶ月～3ヶ月未満</t>
    <phoneticPr fontId="2"/>
  </si>
  <si>
    <t>3ヶ月～6ヶ月未満</t>
    <phoneticPr fontId="2"/>
  </si>
  <si>
    <t>6ヶ月～1年未満</t>
    <phoneticPr fontId="2"/>
  </si>
  <si>
    <t>1年～1年6ヶ月未満</t>
    <phoneticPr fontId="2"/>
  </si>
  <si>
    <t>1年6ヶ月～2年未満</t>
    <phoneticPr fontId="2"/>
  </si>
  <si>
    <t>2年～3年未満</t>
    <phoneticPr fontId="2"/>
  </si>
  <si>
    <t>4年～5年未満</t>
    <phoneticPr fontId="2"/>
  </si>
  <si>
    <t>5年～6年未満</t>
    <phoneticPr fontId="2"/>
  </si>
  <si>
    <t>6年～7年未満</t>
    <phoneticPr fontId="2"/>
  </si>
  <si>
    <t>7年～8年未満</t>
    <phoneticPr fontId="2"/>
  </si>
  <si>
    <t>8年～9年未満</t>
    <phoneticPr fontId="2"/>
  </si>
  <si>
    <t>9年～10年未満</t>
    <phoneticPr fontId="2"/>
  </si>
  <si>
    <t>10年～20年未満</t>
    <phoneticPr fontId="2"/>
  </si>
  <si>
    <t>20年以上</t>
    <phoneticPr fontId="2"/>
  </si>
  <si>
    <t>【状態像区分】</t>
    <phoneticPr fontId="2"/>
  </si>
  <si>
    <t>病識がなく通院服薬の中断が予測される</t>
    <phoneticPr fontId="2"/>
  </si>
  <si>
    <t>〔寛解・院内寛解群〕</t>
    <phoneticPr fontId="2"/>
  </si>
  <si>
    <t>寛解</t>
    <phoneticPr fontId="2"/>
  </si>
  <si>
    <t>院内寛解</t>
    <phoneticPr fontId="2"/>
  </si>
  <si>
    <t>【入院形態区分（在院期間１年以上）】</t>
    <phoneticPr fontId="2"/>
  </si>
  <si>
    <t>〔寛解・院内寛解群〕</t>
    <phoneticPr fontId="2"/>
  </si>
  <si>
    <t>寛解</t>
    <phoneticPr fontId="2"/>
  </si>
  <si>
    <t>院内寛解</t>
    <phoneticPr fontId="2"/>
  </si>
  <si>
    <t>【疾患名区分（在院期間１年以上）】</t>
    <phoneticPr fontId="2"/>
  </si>
  <si>
    <t>〔寛解・院内寛解群〕</t>
    <phoneticPr fontId="2"/>
  </si>
  <si>
    <t>【状態像区分（在院期間１年以上）】</t>
    <phoneticPr fontId="2"/>
  </si>
  <si>
    <t>65歳未満</t>
    <rPh sb="2" eb="3">
      <t>サイ</t>
    </rPh>
    <rPh sb="3" eb="5">
      <t>ミマン</t>
    </rPh>
    <phoneticPr fontId="2"/>
  </si>
  <si>
    <t>【年齢階層×在院期間区分】〔気分（感情）障害（F３）〕</t>
    <rPh sb="14" eb="16">
      <t>キブン</t>
    </rPh>
    <rPh sb="17" eb="19">
      <t>カンジョウ</t>
    </rPh>
    <rPh sb="20" eb="22">
      <t>ショウガイ</t>
    </rPh>
    <phoneticPr fontId="2"/>
  </si>
  <si>
    <t>【年齢階層×在院期間区分】〔気分（感情）障害（Ｆ３）〕&amp;〔寛解・院内寛解群〕</t>
    <rPh sb="14" eb="16">
      <t>キブン</t>
    </rPh>
    <rPh sb="17" eb="19">
      <t>カンジョウ</t>
    </rPh>
    <rPh sb="20" eb="21">
      <t>ショウ</t>
    </rPh>
    <rPh sb="21" eb="22">
      <t>ガイ</t>
    </rPh>
    <phoneticPr fontId="2"/>
  </si>
  <si>
    <t>病識がなく通院服薬の中断が予測される</t>
    <phoneticPr fontId="2"/>
  </si>
  <si>
    <t>　総計</t>
    <rPh sb="1" eb="2">
      <t>ソウ</t>
    </rPh>
    <rPh sb="2" eb="3">
      <t>ケイ</t>
    </rPh>
    <phoneticPr fontId="2"/>
  </si>
  <si>
    <t>　総計</t>
    <rPh sb="1" eb="3">
      <t>ソウケイ</t>
    </rPh>
    <phoneticPr fontId="2"/>
  </si>
  <si>
    <t>90歳～</t>
    <rPh sb="2" eb="3">
      <t>サイ</t>
    </rPh>
    <phoneticPr fontId="2"/>
  </si>
  <si>
    <t>【年齢階層×在院期間区分】〔アルツハイマー病型認知症及び血管性認知症（F00-F01）〕</t>
    <rPh sb="21" eb="22">
      <t>ビョウ</t>
    </rPh>
    <rPh sb="22" eb="23">
      <t>ガタ</t>
    </rPh>
    <rPh sb="23" eb="26">
      <t>ニンチショウ</t>
    </rPh>
    <rPh sb="26" eb="27">
      <t>オヨ</t>
    </rPh>
    <phoneticPr fontId="2"/>
  </si>
  <si>
    <t>【年齢階層×在院期間区分】〔アルツハイマー病型認知症及び血管性認知症（F00-F01）〕&amp;〔寛解・院内寛解群〕</t>
    <phoneticPr fontId="2"/>
  </si>
  <si>
    <t>【年齢階層×在院期間区分】</t>
    <phoneticPr fontId="2"/>
  </si>
  <si>
    <t>合計 / 反社会的行動が予測される</t>
  </si>
  <si>
    <t>合計 / 退院意欲が乏しい</t>
  </si>
  <si>
    <t>合計 / 現実認識が乏しい</t>
  </si>
  <si>
    <t>合計 / 退院による環境変化への不安が強い</t>
  </si>
  <si>
    <t>合計 / 援助者との対人関係がもてない</t>
  </si>
  <si>
    <t>合計 / 家事（食事,洗濯,金銭管理など）ができない</t>
  </si>
  <si>
    <t>合計 / 家族がいない、本人をサポートする機能が実質ない</t>
  </si>
  <si>
    <t>合計 / 家族から退院に反対がある</t>
  </si>
  <si>
    <t>合計 / 住まいの確保ができない</t>
  </si>
  <si>
    <t>合計 / 生活費の確保ができない</t>
  </si>
  <si>
    <t>合計 / 日常生活を支える制度がない</t>
  </si>
  <si>
    <t>合計 / 救急診療体制がない</t>
  </si>
  <si>
    <t>合計 / 退院に向けてサポートする人的資源が乏しい</t>
  </si>
  <si>
    <t>合計 / 退院後サポート・マネジメントする人的資源が乏しい</t>
  </si>
  <si>
    <t>合計 / 住所地と入院先の距離があり支援体制をとりにくい</t>
  </si>
  <si>
    <t>合計 / その他の退院阻害要因がある</t>
  </si>
  <si>
    <t>01_1ヶ月未満</t>
  </si>
  <si>
    <t>02_1ヶ月～3ヶ月未満</t>
  </si>
  <si>
    <t>03_3ヶ月～6ヶ月未満</t>
  </si>
  <si>
    <t>04_6ヶ月～1年未満</t>
  </si>
  <si>
    <t>05_1年～1年6ヶ月未満</t>
  </si>
  <si>
    <t>06_1年6ヶ月～2年未満</t>
  </si>
  <si>
    <t>07_2年～3年未満</t>
  </si>
  <si>
    <t>08_3年～4年未満</t>
  </si>
  <si>
    <t>09_4年～5年未満</t>
  </si>
  <si>
    <t>10_5年～6年未満</t>
  </si>
  <si>
    <t>11_6年～7年未満</t>
  </si>
  <si>
    <t>12_7年～8年未満</t>
  </si>
  <si>
    <t>13_8年～9年未満</t>
  </si>
  <si>
    <t>14_9年～10年未満</t>
  </si>
  <si>
    <t>15_10年～20年未満</t>
  </si>
  <si>
    <t>16_ 20年以上</t>
  </si>
  <si>
    <t>アルツハイマー病型認知症及び血管性認知症（F00-F01）</t>
    <phoneticPr fontId="2"/>
  </si>
  <si>
    <t>左記以外の症状性を含む器質性精神障害（F02-F09）</t>
    <rPh sb="0" eb="2">
      <t>サキ</t>
    </rPh>
    <phoneticPr fontId="2"/>
  </si>
  <si>
    <t>アルコール覚せい剤を除く精神作用物質使用による精神及び行動の障害※</t>
  </si>
  <si>
    <t>覚せい剤による精神及び行動の障害※</t>
  </si>
  <si>
    <t>75歳未満（再掲）</t>
    <rPh sb="2" eb="3">
      <t>サイ</t>
    </rPh>
    <rPh sb="3" eb="5">
      <t>ミマン</t>
    </rPh>
    <rPh sb="6" eb="8">
      <t>サイケイ</t>
    </rPh>
    <phoneticPr fontId="2"/>
  </si>
  <si>
    <t>75歳以上（再掲）</t>
    <rPh sb="2" eb="3">
      <t>サイ</t>
    </rPh>
    <rPh sb="3" eb="5">
      <t>イジョウ</t>
    </rPh>
    <rPh sb="6" eb="8">
      <t>サイケイ</t>
    </rPh>
    <phoneticPr fontId="2"/>
  </si>
  <si>
    <t>【年齢区分（65歳以上在院患者）】</t>
    <rPh sb="8" eb="11">
      <t>サイイジョウ</t>
    </rPh>
    <rPh sb="11" eb="13">
      <t>ザイイン</t>
    </rPh>
    <rPh sb="13" eb="15">
      <t>カンジャ</t>
    </rPh>
    <phoneticPr fontId="2"/>
  </si>
  <si>
    <t>【入院形態区分（65歳以上在院患者）】</t>
    <rPh sb="1" eb="3">
      <t>ニュウイン</t>
    </rPh>
    <rPh sb="3" eb="5">
      <t>ケイタイ</t>
    </rPh>
    <rPh sb="10" eb="13">
      <t>サイイジョウ</t>
    </rPh>
    <rPh sb="13" eb="15">
      <t>ザイイン</t>
    </rPh>
    <rPh sb="15" eb="17">
      <t>カンジャ</t>
    </rPh>
    <phoneticPr fontId="2"/>
  </si>
  <si>
    <t>【在院期間区分（65歳以上在院患者）】</t>
    <rPh sb="1" eb="3">
      <t>ザイイン</t>
    </rPh>
    <rPh sb="3" eb="5">
      <t>キカン</t>
    </rPh>
    <rPh sb="5" eb="7">
      <t>クブン</t>
    </rPh>
    <rPh sb="10" eb="13">
      <t>サイイジョウ</t>
    </rPh>
    <rPh sb="13" eb="15">
      <t>ザイイン</t>
    </rPh>
    <rPh sb="15" eb="17">
      <t>カンジャ</t>
    </rPh>
    <phoneticPr fontId="2"/>
  </si>
  <si>
    <t>1ヶ月～3ヶ月未満</t>
  </si>
  <si>
    <t>3ヶ月～6ヶ月未満</t>
  </si>
  <si>
    <t>6ヶ月～1年未満</t>
  </si>
  <si>
    <t>1年～1年6ヶ月未満</t>
  </si>
  <si>
    <t>1年6ヶ月～2年未満</t>
  </si>
  <si>
    <t>2年～3年未満</t>
  </si>
  <si>
    <t>3年～4年未満</t>
  </si>
  <si>
    <t>4年～5年未満</t>
  </si>
  <si>
    <t>5年～6年未満</t>
  </si>
  <si>
    <t>6年～7年未満</t>
  </si>
  <si>
    <t>7年～8年未満</t>
  </si>
  <si>
    <t>8年～9年未満</t>
  </si>
  <si>
    <t>9年～10年未満</t>
  </si>
  <si>
    <t>10年～20年未満</t>
  </si>
  <si>
    <t>【状態像区分（65歳以上在院患者）】</t>
    <rPh sb="1" eb="3">
      <t>ジョウタイ</t>
    </rPh>
    <rPh sb="3" eb="4">
      <t>ゾウ</t>
    </rPh>
    <rPh sb="4" eb="6">
      <t>クブン</t>
    </rPh>
    <rPh sb="9" eb="12">
      <t>サイイジョウ</t>
    </rPh>
    <rPh sb="12" eb="14">
      <t>ザイイン</t>
    </rPh>
    <rPh sb="14" eb="16">
      <t>カンジャ</t>
    </rPh>
    <phoneticPr fontId="2"/>
  </si>
  <si>
    <t>〔全在院期間〕</t>
    <rPh sb="1" eb="2">
      <t>ゼン</t>
    </rPh>
    <rPh sb="2" eb="4">
      <t>ザイイン</t>
    </rPh>
    <rPh sb="4" eb="6">
      <t>キカン</t>
    </rPh>
    <phoneticPr fontId="2"/>
  </si>
  <si>
    <t>〔1年以上在院患者〕</t>
    <rPh sb="2" eb="5">
      <t>ネンイジョウ</t>
    </rPh>
    <rPh sb="5" eb="7">
      <t>ザイイン</t>
    </rPh>
    <rPh sb="7" eb="9">
      <t>カンジャ</t>
    </rPh>
    <phoneticPr fontId="2"/>
  </si>
  <si>
    <t>病識がなく通院服薬の中断が予測される</t>
  </si>
  <si>
    <t>人数</t>
  </si>
  <si>
    <t>割合</t>
  </si>
  <si>
    <t>〔寛解・院内寛解群〕</t>
    <phoneticPr fontId="2"/>
  </si>
  <si>
    <t>【疾患名区分（65歳以上在院患者）】</t>
    <rPh sb="1" eb="3">
      <t>シッカン</t>
    </rPh>
    <rPh sb="3" eb="4">
      <t>メイ</t>
    </rPh>
    <rPh sb="9" eb="12">
      <t>サイイジョウ</t>
    </rPh>
    <rPh sb="12" eb="14">
      <t>ザイイン</t>
    </rPh>
    <rPh sb="14" eb="16">
      <t>カンジャ</t>
    </rPh>
    <phoneticPr fontId="2"/>
  </si>
  <si>
    <t>〔アルツハイマー病型認知症・血管性認知症以外の症状性を含む器質性精神障害（F02-F09）〕&amp;〔寛解・院内寛解群〕</t>
    <rPh sb="8" eb="9">
      <t>ビョウ</t>
    </rPh>
    <rPh sb="9" eb="10">
      <t>ガタ</t>
    </rPh>
    <rPh sb="10" eb="13">
      <t>ニンチショウ</t>
    </rPh>
    <phoneticPr fontId="2"/>
  </si>
  <si>
    <t>【退院予定の有無】</t>
    <rPh sb="3" eb="5">
      <t>ヨテイ</t>
    </rPh>
    <phoneticPr fontId="2"/>
  </si>
  <si>
    <t>病状（主症状）が落ち着き、入院によらない形で治療ができるまで回復</t>
    <rPh sb="0" eb="2">
      <t>ビョウジョウ</t>
    </rPh>
    <rPh sb="3" eb="4">
      <t>シュ</t>
    </rPh>
    <rPh sb="4" eb="6">
      <t>ショウジョウ</t>
    </rPh>
    <rPh sb="8" eb="9">
      <t>オ</t>
    </rPh>
    <rPh sb="10" eb="11">
      <t>ツ</t>
    </rPh>
    <rPh sb="13" eb="15">
      <t>ニュウイン</t>
    </rPh>
    <rPh sb="20" eb="21">
      <t>カタチ</t>
    </rPh>
    <rPh sb="22" eb="24">
      <t>チリョウ</t>
    </rPh>
    <rPh sb="30" eb="32">
      <t>カイフク</t>
    </rPh>
    <phoneticPr fontId="2"/>
  </si>
  <si>
    <t>病状（主症状）が不安定で入院による治療が必要</t>
    <rPh sb="0" eb="2">
      <t>ビョウジョウ</t>
    </rPh>
    <rPh sb="8" eb="11">
      <t>フアンテイ</t>
    </rPh>
    <rPh sb="12" eb="14">
      <t>ニュウイン</t>
    </rPh>
    <rPh sb="17" eb="19">
      <t>チリョウ</t>
    </rPh>
    <rPh sb="20" eb="22">
      <t>ヒツヨウ</t>
    </rPh>
    <phoneticPr fontId="2"/>
  </si>
  <si>
    <t>退院予定</t>
    <rPh sb="0" eb="2">
      <t>タイイン</t>
    </rPh>
    <rPh sb="2" eb="4">
      <t>ヨテイ</t>
    </rPh>
    <phoneticPr fontId="2"/>
  </si>
  <si>
    <t>病状は落ち着いているが、ときどき不安定な病状が見られ、そのことが退院を阻害する要因になっている</t>
    <rPh sb="0" eb="2">
      <t>ビョウジョウ</t>
    </rPh>
    <rPh sb="3" eb="4">
      <t>オ</t>
    </rPh>
    <rPh sb="5" eb="6">
      <t>ツ</t>
    </rPh>
    <rPh sb="16" eb="19">
      <t>フアンテイ</t>
    </rPh>
    <rPh sb="20" eb="22">
      <t>ビョウジョウ</t>
    </rPh>
    <rPh sb="23" eb="24">
      <t>ミ</t>
    </rPh>
    <rPh sb="32" eb="34">
      <t>タイイン</t>
    </rPh>
    <rPh sb="35" eb="37">
      <t>ソガイ</t>
    </rPh>
    <rPh sb="39" eb="41">
      <t>ヨウイン</t>
    </rPh>
    <phoneticPr fontId="2"/>
  </si>
  <si>
    <t>病状は落ち着いているが、ときどき不安定な病状が見られ、そのことが退院を阻害する要因になっている</t>
    <phoneticPr fontId="2"/>
  </si>
  <si>
    <t>【退院予定の有無（在院期間１年以上）】</t>
    <rPh sb="3" eb="5">
      <t>ヨテイ</t>
    </rPh>
    <phoneticPr fontId="2"/>
  </si>
  <si>
    <t>【退院予定の有無（65歳以上在院患者）】</t>
    <rPh sb="3" eb="5">
      <t>ヨテイ</t>
    </rPh>
    <rPh sb="11" eb="14">
      <t>サイイジョウ</t>
    </rPh>
    <rPh sb="14" eb="16">
      <t>ザイイン</t>
    </rPh>
    <rPh sb="16" eb="18">
      <t>カンジャ</t>
    </rPh>
    <phoneticPr fontId="2"/>
  </si>
  <si>
    <t>病状は落ち着いているが、ときどき不安定な病状が見られ、そのことが退院を阻害する要因になっている</t>
    <phoneticPr fontId="2"/>
  </si>
  <si>
    <t>退院阻害要因</t>
  </si>
  <si>
    <t>退院予定の有無</t>
    <rPh sb="0" eb="2">
      <t>タイイン</t>
    </rPh>
    <rPh sb="2" eb="4">
      <t>ヨテイ</t>
    </rPh>
    <rPh sb="5" eb="7">
      <t>ウム</t>
    </rPh>
    <phoneticPr fontId="2"/>
  </si>
  <si>
    <t>病状（主症状）が不安定で入院による治療が必要</t>
    <rPh sb="0" eb="2">
      <t>ビョウジョウ</t>
    </rPh>
    <rPh sb="3" eb="4">
      <t>シュ</t>
    </rPh>
    <rPh sb="4" eb="6">
      <t>ショウジョウ</t>
    </rPh>
    <rPh sb="8" eb="11">
      <t>フアンテイ</t>
    </rPh>
    <rPh sb="12" eb="14">
      <t>ニュウイン</t>
    </rPh>
    <rPh sb="17" eb="19">
      <t>チリョウ</t>
    </rPh>
    <rPh sb="20" eb="22">
      <t>ヒツヨウ</t>
    </rPh>
    <phoneticPr fontId="2"/>
  </si>
  <si>
    <t>退院阻害要因</t>
    <phoneticPr fontId="2"/>
  </si>
  <si>
    <t>病状は落ち着いているが、ときどき不安定な病状が見られ、そのことが退院を阻害する要因になっている</t>
    <phoneticPr fontId="2"/>
  </si>
  <si>
    <t>退院予定の有無</t>
    <phoneticPr fontId="2"/>
  </si>
  <si>
    <t>家族が退院に反対している</t>
    <rPh sb="3" eb="5">
      <t>タイイン</t>
    </rPh>
    <rPh sb="6" eb="8">
      <t>ハンタイ</t>
    </rPh>
    <phoneticPr fontId="2"/>
  </si>
  <si>
    <t>家族が退院に反対している</t>
    <phoneticPr fontId="2"/>
  </si>
  <si>
    <t>住所地と入院先の距離があり支援体制がとりにくい</t>
    <phoneticPr fontId="2"/>
  </si>
  <si>
    <t>家族が退院に反対している</t>
    <rPh sb="0" eb="2">
      <t>カゾク</t>
    </rPh>
    <rPh sb="3" eb="5">
      <t>タイイン</t>
    </rPh>
    <rPh sb="6" eb="8">
      <t>ハンタイ</t>
    </rPh>
    <phoneticPr fontId="2"/>
  </si>
  <si>
    <t>精神遅滞〔知的障害〕（F7）</t>
    <phoneticPr fontId="2"/>
  </si>
  <si>
    <t>病状は落ち着いているが、ときどき不安定な病状が見られ、そのことが退院を阻害する要因になっている</t>
    <phoneticPr fontId="2"/>
  </si>
  <si>
    <t>精神作用物質使用による精神及び行動の障害（F1）</t>
    <phoneticPr fontId="2"/>
  </si>
  <si>
    <t>統合失調症、統合失調症型障害及び妄想性障害（F2）</t>
    <phoneticPr fontId="2"/>
  </si>
  <si>
    <t>神経症性障害、ストレス関連障害及び身体表現性障害（F4）</t>
  </si>
  <si>
    <t>生理的障害及び身体的要因に関連した行動症候群（F5）</t>
  </si>
  <si>
    <t>精神遅滞〔知的障害〕（F7）</t>
  </si>
  <si>
    <t>成人のパーソナリティ及び行動の障害（F6)</t>
    <phoneticPr fontId="2"/>
  </si>
  <si>
    <t>精神遅滞〔知的障害〕（F7)</t>
    <phoneticPr fontId="2"/>
  </si>
  <si>
    <t>小児期及び青年期に通常発症する行動及び情緒の障害及び特定不能の精神障害（F9)</t>
    <phoneticPr fontId="2"/>
  </si>
  <si>
    <t>成人のパーソナリティ及び行動の障害（F6)</t>
  </si>
  <si>
    <t>小児期及び青年期に通常発症する行動及び情緒の障害及び特定不能の精神障害（F9)</t>
  </si>
  <si>
    <t>成人のパーソナリティ及び行動の障害（F6)</t>
    <phoneticPr fontId="2"/>
  </si>
  <si>
    <t>総計</t>
  </si>
  <si>
    <t>　＜複数回答＞</t>
    <rPh sb="2" eb="4">
      <t>フクスウ</t>
    </rPh>
    <rPh sb="4" eb="6">
      <t>カイトウ</t>
    </rPh>
    <phoneticPr fontId="2"/>
  </si>
  <si>
    <t>　＜複数回答＞</t>
    <phoneticPr fontId="2"/>
  </si>
  <si>
    <t>65歳以上</t>
    <rPh sb="2" eb="3">
      <t>サイ</t>
    </rPh>
    <rPh sb="3" eb="5">
      <t>イジョウ</t>
    </rPh>
    <phoneticPr fontId="2"/>
  </si>
  <si>
    <t>年齢</t>
    <rPh sb="0" eb="2">
      <t>ネンレイ</t>
    </rPh>
    <phoneticPr fontId="2"/>
  </si>
  <si>
    <t>65歳未満</t>
    <rPh sb="2" eb="5">
      <t>サイミマン</t>
    </rPh>
    <phoneticPr fontId="2"/>
  </si>
  <si>
    <t>症状性を含む器質性精神障害（F０）</t>
    <phoneticPr fontId="2"/>
  </si>
  <si>
    <t>アルツハイマー病の認知症を含む器質性精神障害（F00）</t>
    <phoneticPr fontId="2"/>
  </si>
  <si>
    <t>1年以上5年未満</t>
    <phoneticPr fontId="2"/>
  </si>
  <si>
    <t>5年以上10年未満</t>
    <phoneticPr fontId="2"/>
  </si>
  <si>
    <t>統合失調症、統合失調症型障害及び妄想性障害（F2）</t>
    <phoneticPr fontId="2"/>
  </si>
  <si>
    <t>割合には「退院阻害要因がある」それぞれの人数に対する割合を表示しています。</t>
    <rPh sb="0" eb="2">
      <t>ワリアイ</t>
    </rPh>
    <rPh sb="5" eb="7">
      <t>タイイン</t>
    </rPh>
    <rPh sb="7" eb="9">
      <t>ソガイ</t>
    </rPh>
    <rPh sb="9" eb="11">
      <t>ヨウイン</t>
    </rPh>
    <rPh sb="20" eb="22">
      <t>ニンズウ</t>
    </rPh>
    <rPh sb="23" eb="24">
      <t>タイ</t>
    </rPh>
    <rPh sb="26" eb="28">
      <t>ワリアイ</t>
    </rPh>
    <rPh sb="29" eb="31">
      <t>ヒョウジ</t>
    </rPh>
    <phoneticPr fontId="2"/>
  </si>
  <si>
    <t>割合には「退院阻害要因がある」それぞれの人数に対する割合を表示しています。</t>
    <phoneticPr fontId="2"/>
  </si>
  <si>
    <t>寛解・院内寛解</t>
    <rPh sb="0" eb="2">
      <t>カンカイ</t>
    </rPh>
    <rPh sb="3" eb="5">
      <t>インナイ</t>
    </rPh>
    <rPh sb="5" eb="7">
      <t>カンカイ</t>
    </rPh>
    <phoneticPr fontId="2"/>
  </si>
  <si>
    <t>寛解</t>
    <rPh sb="0" eb="2">
      <t>カンカイ</t>
    </rPh>
    <phoneticPr fontId="2"/>
  </si>
  <si>
    <t>院内寛解</t>
    <rPh sb="0" eb="2">
      <t>インナイ</t>
    </rPh>
    <rPh sb="2" eb="4">
      <t>カンカイ</t>
    </rPh>
    <phoneticPr fontId="2"/>
  </si>
  <si>
    <t>患者全体</t>
    <rPh sb="0" eb="2">
      <t>カンジャ</t>
    </rPh>
    <rPh sb="2" eb="4">
      <t>ゼンタイ</t>
    </rPh>
    <phoneticPr fontId="2"/>
  </si>
  <si>
    <t>合計</t>
    <rPh sb="0" eb="2">
      <t>ゴウケイ</t>
    </rPh>
    <phoneticPr fontId="2"/>
  </si>
  <si>
    <t>寛解・院内寛解群</t>
    <rPh sb="0" eb="2">
      <t>カンカイ</t>
    </rPh>
    <rPh sb="3" eb="5">
      <t>インナイ</t>
    </rPh>
    <rPh sb="5" eb="7">
      <t>カンカイ</t>
    </rPh>
    <rPh sb="7" eb="8">
      <t>グン</t>
    </rPh>
    <phoneticPr fontId="2"/>
  </si>
  <si>
    <t>入院形態</t>
    <rPh sb="0" eb="2">
      <t>ニュウイン</t>
    </rPh>
    <rPh sb="2" eb="4">
      <t>ケイタイ</t>
    </rPh>
    <phoneticPr fontId="2"/>
  </si>
  <si>
    <t>院内寛解</t>
    <rPh sb="0" eb="2">
      <t>インナイ</t>
    </rPh>
    <phoneticPr fontId="2"/>
  </si>
  <si>
    <t>疾患名</t>
    <rPh sb="0" eb="2">
      <t>シッカン</t>
    </rPh>
    <rPh sb="2" eb="3">
      <t>メイ</t>
    </rPh>
    <phoneticPr fontId="2"/>
  </si>
  <si>
    <t>F01血管性認知症</t>
  </si>
  <si>
    <t>F02-09上記以外の症状性を含む器質性精神障害</t>
  </si>
  <si>
    <t>F10アルコール使用による精神及び行動の障害</t>
  </si>
  <si>
    <t>F2統合失調症、統合失調症型障害及び妄想性障害</t>
  </si>
  <si>
    <t>F30‐31　躁病エピソード・双極性感情障害［躁うつ病］</t>
  </si>
  <si>
    <t>F32-39　その他の気分障害</t>
  </si>
  <si>
    <t>F4神経症性障害、ストレス関連障害及び身体表現性障害</t>
  </si>
  <si>
    <t>F5生理的障害及び身体的要因に関連した行動症候群</t>
  </si>
  <si>
    <t>F7精神遅滞〔知的障害〕</t>
  </si>
  <si>
    <t>F8心理的発達の障害</t>
  </si>
  <si>
    <t>てんかん（F0に属さないものを計上する）</t>
  </si>
  <si>
    <t>F00アルツハイマー病型認知症</t>
  </si>
  <si>
    <t>F6成人のパーソナリティ及び行動の障害</t>
  </si>
  <si>
    <t>F9小児期及び青年期に通常発症する行動及び情緒の障害及び特定不能の精神障害</t>
  </si>
  <si>
    <t>年齢区分</t>
    <rPh sb="0" eb="2">
      <t>ネンレイ</t>
    </rPh>
    <rPh sb="2" eb="4">
      <t>クブン</t>
    </rPh>
    <phoneticPr fontId="2"/>
  </si>
  <si>
    <t>在院期間</t>
    <rPh sb="0" eb="2">
      <t>ザイイン</t>
    </rPh>
    <rPh sb="2" eb="4">
      <t>キカン</t>
    </rPh>
    <phoneticPr fontId="2"/>
  </si>
  <si>
    <t>65-69歳</t>
  </si>
  <si>
    <t>70-74歳</t>
  </si>
  <si>
    <t>75-79歳</t>
  </si>
  <si>
    <t>80-84歳</t>
  </si>
  <si>
    <t>85-89歳</t>
  </si>
  <si>
    <t>寛解・院内寛解</t>
    <rPh sb="3" eb="7">
      <t>インナイカンカイ</t>
    </rPh>
    <phoneticPr fontId="2"/>
  </si>
  <si>
    <t>65歳未満</t>
  </si>
  <si>
    <t>65歳以上</t>
  </si>
  <si>
    <t>列1</t>
  </si>
  <si>
    <t>合計 / 病状は落ち着いているが、ときどき不安定な病状が見られ、そのことが退院を阻害する要因になっている</t>
  </si>
  <si>
    <t>合計 / 病識がなく通院服薬の中断が予測される</t>
  </si>
  <si>
    <t>〔アルツハイマー病型認知症・血管性認知症以外の症状性を含む器質性精神障害（F02-F09）〕</t>
  </si>
  <si>
    <t>アルコール覚せい剤を除く精神作用物質使用による精神及び行動の障害※</t>
    <phoneticPr fontId="2"/>
  </si>
  <si>
    <t>覚せい剤による精神及び行動の障害※</t>
    <phoneticPr fontId="2"/>
  </si>
  <si>
    <t>F1</t>
    <phoneticPr fontId="2"/>
  </si>
  <si>
    <t>F2</t>
  </si>
  <si>
    <t>F3</t>
  </si>
  <si>
    <t>F4</t>
  </si>
  <si>
    <t>F5</t>
  </si>
  <si>
    <t>F6</t>
  </si>
  <si>
    <t>F7</t>
  </si>
  <si>
    <t>F8</t>
  </si>
  <si>
    <t>F9</t>
  </si>
  <si>
    <t>てんかん</t>
    <phoneticPr fontId="2"/>
  </si>
  <si>
    <t>その他</t>
    <rPh sb="2" eb="3">
      <t>タ</t>
    </rPh>
    <phoneticPr fontId="2"/>
  </si>
  <si>
    <t>F0</t>
    <phoneticPr fontId="2"/>
  </si>
  <si>
    <t>1年以上5年未満</t>
    <rPh sb="2" eb="4">
      <t>イジョウ</t>
    </rPh>
    <phoneticPr fontId="2"/>
  </si>
  <si>
    <t>5年以上10年未満</t>
    <rPh sb="1" eb="2">
      <t>ネン</t>
    </rPh>
    <rPh sb="2" eb="4">
      <t>イジョウ</t>
    </rPh>
    <phoneticPr fontId="2"/>
  </si>
  <si>
    <t>寛解・院内寛解群</t>
    <rPh sb="0" eb="2">
      <t>カンカイ</t>
    </rPh>
    <rPh sb="3" eb="8">
      <t>インナイカンカイグン</t>
    </rPh>
    <phoneticPr fontId="2"/>
  </si>
  <si>
    <t>【在院期間　※自動入力】</t>
    <rPh sb="1" eb="3">
      <t>ザイイン</t>
    </rPh>
    <rPh sb="3" eb="5">
      <t>キカン</t>
    </rPh>
    <rPh sb="7" eb="9">
      <t>ジドウ</t>
    </rPh>
    <rPh sb="9" eb="11">
      <t>ニュウリョク</t>
    </rPh>
    <phoneticPr fontId="2"/>
  </si>
  <si>
    <t>全在院患者</t>
    <rPh sb="0" eb="1">
      <t>ゼン</t>
    </rPh>
    <rPh sb="1" eb="3">
      <t>ザイイン</t>
    </rPh>
    <rPh sb="3" eb="5">
      <t>カンジャ</t>
    </rPh>
    <phoneticPr fontId="2"/>
  </si>
  <si>
    <t>在院1年以上寛解・院内寛解群</t>
  </si>
  <si>
    <t>病状は落ち着いているが、ときどき不安定な病状が見られ、そのことが退院を阻害する要因になっている</t>
    <rPh sb="0" eb="2">
      <t>ビョウジョウ</t>
    </rPh>
    <rPh sb="3" eb="4">
      <t>オ</t>
    </rPh>
    <rPh sb="5" eb="6">
      <t>ツ</t>
    </rPh>
    <rPh sb="16" eb="19">
      <t>フアンテイ</t>
    </rPh>
    <rPh sb="20" eb="22">
      <t>ビョウジョウ</t>
    </rPh>
    <rPh sb="23" eb="24">
      <t>ミ</t>
    </rPh>
    <rPh sb="32" eb="34">
      <t>タイイン</t>
    </rPh>
    <rPh sb="35" eb="37">
      <t>ソガイ</t>
    </rPh>
    <rPh sb="39" eb="41">
      <t>ヨウイン</t>
    </rPh>
    <phoneticPr fontId="22"/>
  </si>
  <si>
    <t>退院による環境変化への不安が強い</t>
    <phoneticPr fontId="2"/>
  </si>
  <si>
    <t>家事（食事・洗濯・金銭管理など）ができない</t>
    <phoneticPr fontId="2"/>
  </si>
  <si>
    <t>家族がいない、本人をサポートする機能が実質ない</t>
    <phoneticPr fontId="2"/>
  </si>
  <si>
    <t>家族が退院に反対している</t>
    <rPh sb="3" eb="5">
      <t>タイイン</t>
    </rPh>
    <rPh sb="6" eb="8">
      <t>ハンタイ</t>
    </rPh>
    <phoneticPr fontId="22"/>
  </si>
  <si>
    <t>住所地と入院先の距離があり支援体制がとりにくい</t>
  </si>
  <si>
    <t>病状（主症状）が落ち着き、入院によらない形で治療ができる程度まで回復</t>
    <phoneticPr fontId="2"/>
  </si>
  <si>
    <t>病状（主症状）が不安定で入院による治療が必要</t>
  </si>
  <si>
    <t>退院阻害要因がない</t>
    <rPh sb="0" eb="2">
      <t>タイイン</t>
    </rPh>
    <rPh sb="2" eb="4">
      <t>ソガイ</t>
    </rPh>
    <rPh sb="4" eb="6">
      <t>ヨウイン</t>
    </rPh>
    <phoneticPr fontId="2"/>
  </si>
  <si>
    <t>阻害要因　TOP5</t>
    <rPh sb="0" eb="2">
      <t>ソガイ</t>
    </rPh>
    <rPh sb="2" eb="4">
      <t>ヨウイン</t>
    </rPh>
    <phoneticPr fontId="2"/>
  </si>
  <si>
    <t>LANK</t>
    <phoneticPr fontId="2"/>
  </si>
  <si>
    <t>病状（主症状）が不安定で入院による治療が必要</t>
    <phoneticPr fontId="2"/>
  </si>
  <si>
    <t>退院予定</t>
    <phoneticPr fontId="2"/>
  </si>
  <si>
    <t>退院予定の有無</t>
    <rPh sb="2" eb="4">
      <t>ヨテイ</t>
    </rPh>
    <rPh sb="5" eb="7">
      <t>ウム</t>
    </rPh>
    <phoneticPr fontId="2"/>
  </si>
  <si>
    <t>退院阻害要因の有無</t>
    <rPh sb="0" eb="2">
      <t>タイイン</t>
    </rPh>
    <rPh sb="2" eb="4">
      <t>ソガイ</t>
    </rPh>
    <rPh sb="4" eb="6">
      <t>ヨウイン</t>
    </rPh>
    <rPh sb="7" eb="9">
      <t>ウム</t>
    </rPh>
    <phoneticPr fontId="2"/>
  </si>
  <si>
    <t>退院阻害要因の有無2</t>
    <rPh sb="0" eb="6">
      <t>タイインソガイヨウイン</t>
    </rPh>
    <rPh sb="7" eb="9">
      <t>ウム</t>
    </rPh>
    <phoneticPr fontId="2"/>
  </si>
  <si>
    <t>【退院予定及び阻害要因　※自動入力】</t>
    <rPh sb="1" eb="3">
      <t>タイイン</t>
    </rPh>
    <rPh sb="3" eb="5">
      <t>ヨテイ</t>
    </rPh>
    <rPh sb="5" eb="6">
      <t>オヨ</t>
    </rPh>
    <rPh sb="7" eb="9">
      <t>ソガイ</t>
    </rPh>
    <rPh sb="9" eb="11">
      <t>ヨウイン</t>
    </rPh>
    <rPh sb="13" eb="15">
      <t>ジドウ</t>
    </rPh>
    <rPh sb="15" eb="17">
      <t>ニュウリョク</t>
    </rPh>
    <phoneticPr fontId="2"/>
  </si>
  <si>
    <t>全体</t>
    <rPh sb="0" eb="2">
      <t>ゼンタイ</t>
    </rPh>
    <phoneticPr fontId="2"/>
  </si>
  <si>
    <t>寛解院内寛解</t>
    <rPh sb="0" eb="6">
      <t>カンカイインナイカンカイ</t>
    </rPh>
    <phoneticPr fontId="2"/>
  </si>
  <si>
    <t>寛解院内寛解合計</t>
    <rPh sb="0" eb="2">
      <t>カンカイ</t>
    </rPh>
    <rPh sb="2" eb="4">
      <t>インナイ</t>
    </rPh>
    <rPh sb="4" eb="6">
      <t>カンカイ</t>
    </rPh>
    <rPh sb="6" eb="8">
      <t>ゴウケイ</t>
    </rPh>
    <phoneticPr fontId="2"/>
  </si>
  <si>
    <t>F0</t>
  </si>
  <si>
    <t>F1</t>
  </si>
  <si>
    <t>てんかん</t>
  </si>
  <si>
    <t>病状は落ち着いているが、ときどき不安定な病状が見られ、そのことが退院を阻害する要因になっている</t>
  </si>
  <si>
    <t>家族が退院に反対している</t>
  </si>
  <si>
    <t>家族がいない・本人をサポートする機能が実質ない</t>
  </si>
  <si>
    <t>1年未満</t>
  </si>
  <si>
    <t>1年以上5年未満</t>
  </si>
  <si>
    <t>5年以上10年未満</t>
  </si>
  <si>
    <t>10年以上</t>
  </si>
  <si>
    <t>データ貼り付けは表の下にあります。</t>
    <rPh sb="3" eb="4">
      <t>ハ</t>
    </rPh>
    <rPh sb="5" eb="6">
      <t>ツ</t>
    </rPh>
    <rPh sb="8" eb="9">
      <t>ヒョウ</t>
    </rPh>
    <rPh sb="10" eb="11">
      <t>シタ</t>
    </rPh>
    <phoneticPr fontId="2"/>
  </si>
  <si>
    <t>直接入力しないようにご注意ください。</t>
    <rPh sb="0" eb="2">
      <t>チョクセツ</t>
    </rPh>
    <rPh sb="2" eb="4">
      <t>ニュウリョク</t>
    </rPh>
    <rPh sb="11" eb="13">
      <t>チュウイ</t>
    </rPh>
    <phoneticPr fontId="2"/>
  </si>
  <si>
    <t>院内寛解</t>
    <rPh sb="0" eb="2">
      <t>インナイ</t>
    </rPh>
    <phoneticPr fontId="2"/>
  </si>
  <si>
    <t>こちらのシートは直接入力です。</t>
    <rPh sb="8" eb="10">
      <t>チョクセツ</t>
    </rPh>
    <rPh sb="10" eb="12">
      <t>ニュウリョク</t>
    </rPh>
    <phoneticPr fontId="2"/>
  </si>
  <si>
    <t>08_3年～4年未満</t>
    <phoneticPr fontId="2"/>
  </si>
  <si>
    <t>患者全体</t>
  </si>
  <si>
    <t>合計</t>
  </si>
  <si>
    <t>寛解・院内寛解群</t>
  </si>
  <si>
    <t>1年以上</t>
    <rPh sb="1" eb="4">
      <t>ネンイジョウ</t>
    </rPh>
    <phoneticPr fontId="2"/>
  </si>
  <si>
    <t>こちらのシートは直接貼り付けです。</t>
    <rPh sb="8" eb="10">
      <t>チョクセツ</t>
    </rPh>
    <rPh sb="10" eb="11">
      <t>ハ</t>
    </rPh>
    <rPh sb="12" eb="13">
      <t>ツ</t>
    </rPh>
    <phoneticPr fontId="2"/>
  </si>
  <si>
    <t>令和4年度
巻末資料</t>
    <rPh sb="0" eb="2">
      <t>レイワ</t>
    </rPh>
    <rPh sb="3" eb="5">
      <t>ネンド</t>
    </rPh>
    <rPh sb="6" eb="8">
      <t>カンマツ</t>
    </rPh>
    <rPh sb="8" eb="10">
      <t>シリョウ</t>
    </rPh>
    <phoneticPr fontId="2"/>
  </si>
  <si>
    <t>行ラベル</t>
  </si>
  <si>
    <t>緊急措置入院</t>
  </si>
  <si>
    <t>不明</t>
  </si>
  <si>
    <t>不明</t>
    <rPh sb="0" eb="2">
      <t>フメイ</t>
    </rPh>
    <phoneticPr fontId="2"/>
  </si>
  <si>
    <t>不明</t>
    <rPh sb="0" eb="2">
      <t>フメイ</t>
    </rPh>
    <phoneticPr fontId="2"/>
  </si>
  <si>
    <t>身体的機能や状態を原因としたADLの低下がある</t>
    <phoneticPr fontId="2"/>
  </si>
  <si>
    <t>身体合併症の程度が重いなど身体面のフォローが必要であり、地域での生活が困難</t>
    <phoneticPr fontId="2"/>
  </si>
  <si>
    <t>不明</t>
    <rPh sb="0" eb="2">
      <t>フメイ</t>
    </rPh>
    <phoneticPr fontId="2"/>
  </si>
  <si>
    <t>身体的機能や状態を原因としたADLの低下がある</t>
  </si>
  <si>
    <t>身体合併症の程度が重いなど身体面のフォローが必要であり、地域での生活が困難</t>
  </si>
  <si>
    <t>合計 / 身体的機能や状態を原因としたADLの低下がある</t>
  </si>
  <si>
    <t>合計 / 身体合併症の程度が重いなど身体面のフォローが必要であり、地域での生活が困難</t>
  </si>
  <si>
    <t>(空白)</t>
  </si>
  <si>
    <t>【年齢区分×病院所在地（圏域）】</t>
    <phoneticPr fontId="2"/>
  </si>
  <si>
    <t>豊能</t>
  </si>
  <si>
    <t>三島</t>
  </si>
  <si>
    <t>北河内</t>
  </si>
  <si>
    <t>中河内</t>
  </si>
  <si>
    <t>南河内</t>
  </si>
  <si>
    <t>泉州</t>
  </si>
  <si>
    <t>大阪市</t>
  </si>
  <si>
    <t>堺市</t>
  </si>
  <si>
    <t>01豊能北</t>
  </si>
  <si>
    <t>02豊能豊中</t>
  </si>
  <si>
    <t>03豊能吹田</t>
  </si>
  <si>
    <t>04三島</t>
  </si>
  <si>
    <t>05三島高槻</t>
  </si>
  <si>
    <t>06北河内枚方</t>
  </si>
  <si>
    <t>07北河内寝屋川</t>
  </si>
  <si>
    <t>08北河内西</t>
  </si>
  <si>
    <t>09北河内東</t>
  </si>
  <si>
    <t>10中河内東大阪</t>
  </si>
  <si>
    <t>【入院形態区分×病院所在地（圏域）】</t>
    <phoneticPr fontId="2"/>
  </si>
  <si>
    <t>措置入院・</t>
    <phoneticPr fontId="2"/>
  </si>
  <si>
    <t>【疾患名区分×病院所在地（圏域）】</t>
    <rPh sb="1" eb="3">
      <t>シッカン</t>
    </rPh>
    <rPh sb="3" eb="4">
      <t>メイ</t>
    </rPh>
    <phoneticPr fontId="2"/>
  </si>
  <si>
    <t>症状性を含む器質性精神障害（F0）</t>
  </si>
  <si>
    <t>アルツハイマー病の認知症を含む器質性精神障害（F00）</t>
  </si>
  <si>
    <t>血管性認知症を含む器質性精神障害（F01）</t>
  </si>
  <si>
    <t>アルツハイマー病の認知症・血管性認知症以外の症状性を含む器質性精神障害（F02-F09）</t>
    <phoneticPr fontId="2"/>
  </si>
  <si>
    <t>成人のパーソナリティ及び行動の障害（F6）</t>
    <phoneticPr fontId="2"/>
  </si>
  <si>
    <t>知的障害（F7）</t>
    <rPh sb="0" eb="2">
      <t>チテキ</t>
    </rPh>
    <rPh sb="2" eb="4">
      <t>ショウガイ</t>
    </rPh>
    <phoneticPr fontId="2"/>
  </si>
  <si>
    <t>小児期及び青年期の通常発症する行動及び情緒の障害及び特定不能の精神障害（F9）</t>
    <phoneticPr fontId="2"/>
  </si>
  <si>
    <t>【在院期間区分×病院所在地（圏域）】</t>
    <rPh sb="1" eb="3">
      <t>ザイイン</t>
    </rPh>
    <rPh sb="3" eb="5">
      <t>キカン</t>
    </rPh>
    <phoneticPr fontId="2"/>
  </si>
  <si>
    <t>1ヶ月～</t>
    <phoneticPr fontId="2"/>
  </si>
  <si>
    <t>3ヶ月未満</t>
    <phoneticPr fontId="2"/>
  </si>
  <si>
    <t>3ヶ月～</t>
    <phoneticPr fontId="2"/>
  </si>
  <si>
    <t>6ヶ月未満</t>
    <phoneticPr fontId="2"/>
  </si>
  <si>
    <t>6ヶ月～</t>
    <phoneticPr fontId="2"/>
  </si>
  <si>
    <t>1年～</t>
    <phoneticPr fontId="2"/>
  </si>
  <si>
    <t>1年6ヶ月未満</t>
    <phoneticPr fontId="2"/>
  </si>
  <si>
    <t>1年6ヶ月</t>
    <phoneticPr fontId="2"/>
  </si>
  <si>
    <t>～2年未満</t>
    <phoneticPr fontId="2"/>
  </si>
  <si>
    <t>2年～</t>
    <phoneticPr fontId="2"/>
  </si>
  <si>
    <t>3年未満</t>
    <phoneticPr fontId="2"/>
  </si>
  <si>
    <t>3年～</t>
    <phoneticPr fontId="2"/>
  </si>
  <si>
    <t>4年未満</t>
    <phoneticPr fontId="2"/>
  </si>
  <si>
    <t>4年～</t>
    <phoneticPr fontId="2"/>
  </si>
  <si>
    <t>5年未満</t>
    <phoneticPr fontId="2"/>
  </si>
  <si>
    <t>5年～</t>
    <phoneticPr fontId="2"/>
  </si>
  <si>
    <t>6年未満</t>
    <phoneticPr fontId="2"/>
  </si>
  <si>
    <t>6年～</t>
    <phoneticPr fontId="2"/>
  </si>
  <si>
    <t>7年未満</t>
    <phoneticPr fontId="2"/>
  </si>
  <si>
    <t>7年～</t>
    <phoneticPr fontId="2"/>
  </si>
  <si>
    <t>8年未満</t>
    <phoneticPr fontId="2"/>
  </si>
  <si>
    <t>8年～</t>
    <phoneticPr fontId="2"/>
  </si>
  <si>
    <t>9年未満</t>
    <phoneticPr fontId="2"/>
  </si>
  <si>
    <t>9年～</t>
    <phoneticPr fontId="2"/>
  </si>
  <si>
    <t>10年未満</t>
    <phoneticPr fontId="2"/>
  </si>
  <si>
    <t>10年～</t>
    <phoneticPr fontId="2"/>
  </si>
  <si>
    <t>20年未満</t>
    <phoneticPr fontId="2"/>
  </si>
  <si>
    <t>1年以上</t>
    <rPh sb="2" eb="4">
      <t>イジョウ</t>
    </rPh>
    <phoneticPr fontId="32"/>
  </si>
  <si>
    <t>5年未満（再掲）</t>
    <phoneticPr fontId="2"/>
  </si>
  <si>
    <t>5年以上</t>
    <rPh sb="1" eb="2">
      <t>ネン</t>
    </rPh>
    <rPh sb="2" eb="4">
      <t>イジョウ</t>
    </rPh>
    <phoneticPr fontId="32"/>
  </si>
  <si>
    <t>10年未満（再掲）</t>
    <phoneticPr fontId="2"/>
  </si>
  <si>
    <t>10年以上（再掲）</t>
    <phoneticPr fontId="2"/>
  </si>
  <si>
    <t>【状態像区分×病院所在地（圏域）】</t>
    <rPh sb="1" eb="3">
      <t>ジョウタイ</t>
    </rPh>
    <rPh sb="3" eb="4">
      <t>ゾウ</t>
    </rPh>
    <phoneticPr fontId="2"/>
  </si>
  <si>
    <t>【退院阻害要因の有無×病院所在地（圏域）】</t>
    <phoneticPr fontId="2"/>
  </si>
  <si>
    <t>病状（主症状）が落ち着き、入院によらない形で治療ができるまで回復</t>
    <rPh sb="0" eb="2">
      <t>ビョウジョウ</t>
    </rPh>
    <phoneticPr fontId="2"/>
  </si>
  <si>
    <t>退院阻害要因はない</t>
    <rPh sb="0" eb="2">
      <t>タイイン</t>
    </rPh>
    <rPh sb="2" eb="4">
      <t>ソガイ</t>
    </rPh>
    <rPh sb="4" eb="6">
      <t>ヨウイン</t>
    </rPh>
    <phoneticPr fontId="2"/>
  </si>
  <si>
    <t>【退院阻害要因（複数回答）×病院所在地（圏域）】</t>
    <phoneticPr fontId="2"/>
  </si>
  <si>
    <t>反社会的行動が予測される</t>
    <phoneticPr fontId="2"/>
  </si>
  <si>
    <t>退院意欲が乏しい</t>
    <phoneticPr fontId="2"/>
  </si>
  <si>
    <t>現実認識が乏しい</t>
    <phoneticPr fontId="2"/>
  </si>
  <si>
    <t>援助者との対人関係がもてない</t>
    <phoneticPr fontId="2"/>
  </si>
  <si>
    <t>住まいの確保ができない</t>
    <phoneticPr fontId="2"/>
  </si>
  <si>
    <t>生活費の確保ができない</t>
    <phoneticPr fontId="2"/>
  </si>
  <si>
    <t>日常生活を支える制度がない</t>
    <phoneticPr fontId="2"/>
  </si>
  <si>
    <t>救急診療体制がない</t>
    <phoneticPr fontId="2"/>
  </si>
  <si>
    <t>退院に向けてサポートする人的資源が乏しい</t>
    <phoneticPr fontId="2"/>
  </si>
  <si>
    <t>退院後サポート・マネジメントする人的資源が乏しい</t>
    <phoneticPr fontId="2"/>
  </si>
  <si>
    <t>その他の退院阻害要因がある</t>
    <phoneticPr fontId="2"/>
  </si>
  <si>
    <t>【年齢区分×入院時住所地（圏域）】</t>
    <rPh sb="6" eb="8">
      <t>ニュウイン</t>
    </rPh>
    <rPh sb="8" eb="9">
      <t>ジ</t>
    </rPh>
    <rPh sb="9" eb="11">
      <t>ジュウショ</t>
    </rPh>
    <phoneticPr fontId="2"/>
  </si>
  <si>
    <t>府外・
その他</t>
    <rPh sb="0" eb="1">
      <t>フ</t>
    </rPh>
    <rPh sb="1" eb="2">
      <t>ガイ</t>
    </rPh>
    <rPh sb="6" eb="7">
      <t>タ</t>
    </rPh>
    <phoneticPr fontId="2"/>
  </si>
  <si>
    <t>【入院形態区分×入院時住所地（圏域）】</t>
    <rPh sb="8" eb="10">
      <t>ニュウイン</t>
    </rPh>
    <rPh sb="10" eb="11">
      <t>ジ</t>
    </rPh>
    <rPh sb="11" eb="13">
      <t>ジュウショ</t>
    </rPh>
    <rPh sb="13" eb="14">
      <t>チ</t>
    </rPh>
    <rPh sb="15" eb="17">
      <t>ケンイキ</t>
    </rPh>
    <phoneticPr fontId="2"/>
  </si>
  <si>
    <t>【疾患名区分×入院時住所地（圏域）】</t>
    <rPh sb="1" eb="3">
      <t>シッカン</t>
    </rPh>
    <rPh sb="3" eb="4">
      <t>メイ</t>
    </rPh>
    <phoneticPr fontId="2"/>
  </si>
  <si>
    <t>【在院期間区分×入院時住所地（圏域）】</t>
    <rPh sb="1" eb="3">
      <t>ザイイン</t>
    </rPh>
    <rPh sb="3" eb="5">
      <t>キカン</t>
    </rPh>
    <phoneticPr fontId="2"/>
  </si>
  <si>
    <t>【状態像区分×入院時住所地（圏域）】</t>
    <rPh sb="1" eb="3">
      <t>ジョウタイ</t>
    </rPh>
    <rPh sb="3" eb="4">
      <t>ゾウ</t>
    </rPh>
    <phoneticPr fontId="2"/>
  </si>
  <si>
    <t>【退院阻害要因の有無×入院時住所地（圏域）】</t>
    <phoneticPr fontId="2"/>
  </si>
  <si>
    <t>【退院阻害要因（複数回答）×入院時住所地（圏域）】</t>
    <phoneticPr fontId="2"/>
  </si>
  <si>
    <t>【病院所在地（圏域）×入院時住所地（圏域）】</t>
    <rPh sb="1" eb="3">
      <t>ビョウイン</t>
    </rPh>
    <rPh sb="3" eb="6">
      <t>ショザイチ</t>
    </rPh>
    <rPh sb="7" eb="9">
      <t>ケンイキ</t>
    </rPh>
    <rPh sb="11" eb="13">
      <t>ニュウイン</t>
    </rPh>
    <rPh sb="13" eb="14">
      <t>ジ</t>
    </rPh>
    <rPh sb="14" eb="16">
      <t>ジュウショ</t>
    </rPh>
    <rPh sb="16" eb="17">
      <t>チ</t>
    </rPh>
    <rPh sb="18" eb="20">
      <t>ケンイキ</t>
    </rPh>
    <phoneticPr fontId="2"/>
  </si>
  <si>
    <t>病院所在地</t>
    <rPh sb="0" eb="2">
      <t>ビョウイン</t>
    </rPh>
    <rPh sb="2" eb="5">
      <t>ショザイチ</t>
    </rPh>
    <phoneticPr fontId="2"/>
  </si>
  <si>
    <t>入院時住所地</t>
    <rPh sb="0" eb="2">
      <t>ニュウイン</t>
    </rPh>
    <rPh sb="2" eb="3">
      <t>ジ</t>
    </rPh>
    <rPh sb="3" eb="5">
      <t>ジュウショ</t>
    </rPh>
    <rPh sb="5" eb="6">
      <t>チ</t>
    </rPh>
    <phoneticPr fontId="2"/>
  </si>
  <si>
    <t>（触らない）</t>
    <rPh sb="1" eb="2">
      <t>サワ</t>
    </rPh>
    <phoneticPr fontId="2"/>
  </si>
  <si>
    <t>1_豊能</t>
    <rPh sb="2" eb="4">
      <t>トヨノ</t>
    </rPh>
    <phoneticPr fontId="32"/>
  </si>
  <si>
    <t>2_三島</t>
    <rPh sb="2" eb="4">
      <t>ミシマ</t>
    </rPh>
    <phoneticPr fontId="32"/>
  </si>
  <si>
    <t>3_北河内</t>
    <rPh sb="2" eb="5">
      <t>キタカワチ</t>
    </rPh>
    <phoneticPr fontId="32"/>
  </si>
  <si>
    <t>4_中河内</t>
    <rPh sb="2" eb="3">
      <t>ナカ</t>
    </rPh>
    <rPh sb="3" eb="5">
      <t>カワチ</t>
    </rPh>
    <phoneticPr fontId="32"/>
  </si>
  <si>
    <t>5_南河内</t>
    <rPh sb="2" eb="5">
      <t>ミナミカワチ</t>
    </rPh>
    <phoneticPr fontId="32"/>
  </si>
  <si>
    <t>6_泉州</t>
    <rPh sb="2" eb="4">
      <t>センシュウ</t>
    </rPh>
    <phoneticPr fontId="32"/>
  </si>
  <si>
    <t>7_大阪市</t>
    <rPh sb="2" eb="5">
      <t>オオサカシ</t>
    </rPh>
    <phoneticPr fontId="32"/>
  </si>
  <si>
    <t>8_堺市</t>
    <rPh sb="2" eb="4">
      <t>サカイシ</t>
    </rPh>
    <phoneticPr fontId="32"/>
  </si>
  <si>
    <t>他府県・不明</t>
    <rPh sb="0" eb="1">
      <t>タ</t>
    </rPh>
    <rPh sb="1" eb="3">
      <t>フケン</t>
    </rPh>
    <rPh sb="4" eb="6">
      <t>フメイ</t>
    </rPh>
    <phoneticPr fontId="32"/>
  </si>
  <si>
    <t>大阪市</t>
    <rPh sb="0" eb="3">
      <t>オオサカシ</t>
    </rPh>
    <phoneticPr fontId="2"/>
  </si>
  <si>
    <t>堺市</t>
    <rPh sb="0" eb="2">
      <t>サカイシ</t>
    </rPh>
    <phoneticPr fontId="2"/>
  </si>
  <si>
    <t>【病院所在地（圏域）×入院時住所地（圏域）】〔１年以上入院患者〕</t>
    <rPh sb="1" eb="3">
      <t>ビョウイン</t>
    </rPh>
    <rPh sb="3" eb="6">
      <t>ショザイチ</t>
    </rPh>
    <rPh sb="7" eb="9">
      <t>ケンイキ</t>
    </rPh>
    <rPh sb="11" eb="13">
      <t>ニュウイン</t>
    </rPh>
    <rPh sb="13" eb="14">
      <t>ジ</t>
    </rPh>
    <rPh sb="14" eb="16">
      <t>ジュウショ</t>
    </rPh>
    <rPh sb="16" eb="17">
      <t>チ</t>
    </rPh>
    <rPh sb="18" eb="20">
      <t>ケンイキ</t>
    </rPh>
    <rPh sb="24" eb="27">
      <t>ネンイジョウ</t>
    </rPh>
    <rPh sb="27" eb="29">
      <t>ニュウイン</t>
    </rPh>
    <rPh sb="29" eb="31">
      <t>カンジャ</t>
    </rPh>
    <phoneticPr fontId="2"/>
  </si>
  <si>
    <t>【入院時住所地別在院患者の状況】</t>
    <rPh sb="1" eb="3">
      <t>ニュウイン</t>
    </rPh>
    <rPh sb="3" eb="4">
      <t>ジ</t>
    </rPh>
    <rPh sb="4" eb="6">
      <t>ジュウショ</t>
    </rPh>
    <rPh sb="6" eb="7">
      <t>チ</t>
    </rPh>
    <rPh sb="7" eb="8">
      <t>ベツ</t>
    </rPh>
    <rPh sb="8" eb="10">
      <t>ザイイン</t>
    </rPh>
    <rPh sb="10" eb="12">
      <t>カンジャ</t>
    </rPh>
    <rPh sb="13" eb="15">
      <t>ジョウキョウ</t>
    </rPh>
    <phoneticPr fontId="2"/>
  </si>
  <si>
    <t>在院1年以上</t>
    <rPh sb="0" eb="2">
      <t>ザイイン</t>
    </rPh>
    <rPh sb="3" eb="6">
      <t>ネンイジョウ</t>
    </rPh>
    <phoneticPr fontId="2"/>
  </si>
  <si>
    <t>在院1年未満</t>
    <rPh sb="0" eb="2">
      <t>ザイイン</t>
    </rPh>
    <rPh sb="3" eb="4">
      <t>ネン</t>
    </rPh>
    <rPh sb="4" eb="6">
      <t>ミマン</t>
    </rPh>
    <phoneticPr fontId="2"/>
  </si>
  <si>
    <t>軽度</t>
    <rPh sb="0" eb="2">
      <t>ケイド</t>
    </rPh>
    <phoneticPr fontId="2"/>
  </si>
  <si>
    <t>中等度</t>
    <rPh sb="0" eb="2">
      <t>チュウトウ</t>
    </rPh>
    <rPh sb="2" eb="3">
      <t>ド</t>
    </rPh>
    <phoneticPr fontId="2"/>
  </si>
  <si>
    <t>重度</t>
    <rPh sb="0" eb="2">
      <t>ジュウド</t>
    </rPh>
    <phoneticPr fontId="2"/>
  </si>
  <si>
    <t>最重度</t>
    <rPh sb="0" eb="1">
      <t>サイ</t>
    </rPh>
    <rPh sb="1" eb="3">
      <t>ジュウド</t>
    </rPh>
    <phoneticPr fontId="2"/>
  </si>
  <si>
    <t>小計</t>
    <rPh sb="0" eb="2">
      <t>ショウケイ</t>
    </rPh>
    <phoneticPr fontId="2"/>
  </si>
  <si>
    <t>池田市</t>
  </si>
  <si>
    <t>箕面市</t>
  </si>
  <si>
    <t>能勢町</t>
  </si>
  <si>
    <t>豊能町</t>
  </si>
  <si>
    <t>豊中市</t>
  </si>
  <si>
    <t>吹田市</t>
  </si>
  <si>
    <t>摂津市</t>
  </si>
  <si>
    <t>茨木市</t>
  </si>
  <si>
    <t>高槻市</t>
    <rPh sb="0" eb="3">
      <t>タカツキシ</t>
    </rPh>
    <phoneticPr fontId="2"/>
  </si>
  <si>
    <t>枚方市</t>
  </si>
  <si>
    <t>寝屋川市</t>
  </si>
  <si>
    <t>交野市</t>
  </si>
  <si>
    <t>大東市</t>
    <rPh sb="0" eb="2">
      <t>ダイトウ</t>
    </rPh>
    <phoneticPr fontId="2"/>
  </si>
  <si>
    <t>守口市</t>
    <rPh sb="0" eb="3">
      <t>モリグチシ</t>
    </rPh>
    <phoneticPr fontId="2"/>
  </si>
  <si>
    <t>門真市</t>
    <rPh sb="0" eb="3">
      <t>カドマシ</t>
    </rPh>
    <phoneticPr fontId="2"/>
  </si>
  <si>
    <t>東大阪市</t>
  </si>
  <si>
    <t>八尾市</t>
  </si>
  <si>
    <t>柏原市</t>
  </si>
  <si>
    <t>松原市</t>
  </si>
  <si>
    <t>藤井寺市</t>
  </si>
  <si>
    <t>羽曳野市</t>
  </si>
  <si>
    <t>大阪狭山市</t>
  </si>
  <si>
    <t>富田林市</t>
  </si>
  <si>
    <t>太子町</t>
  </si>
  <si>
    <t>河南町</t>
  </si>
  <si>
    <t>千早赤阪村</t>
  </si>
  <si>
    <t>河内長野市</t>
  </si>
  <si>
    <t>和泉市</t>
  </si>
  <si>
    <t>泉大津市</t>
  </si>
  <si>
    <t>高石市</t>
  </si>
  <si>
    <t>忠岡町</t>
  </si>
  <si>
    <t>岸和田市</t>
  </si>
  <si>
    <t>貝塚市</t>
  </si>
  <si>
    <t>熊取町</t>
  </si>
  <si>
    <t>泉佐野市</t>
  </si>
  <si>
    <t>田尻町</t>
  </si>
  <si>
    <t>泉南市</t>
  </si>
  <si>
    <t>阪南市</t>
  </si>
  <si>
    <t>岬町</t>
  </si>
  <si>
    <t>北区</t>
  </si>
  <si>
    <t>都島区</t>
  </si>
  <si>
    <t>福島区</t>
  </si>
  <si>
    <t>此花区</t>
  </si>
  <si>
    <t>中央区</t>
  </si>
  <si>
    <t>西区</t>
  </si>
  <si>
    <t>港区</t>
  </si>
  <si>
    <t>大正区</t>
  </si>
  <si>
    <t>天王寺区</t>
  </si>
  <si>
    <t>浪速区</t>
  </si>
  <si>
    <t>西淀川区</t>
  </si>
  <si>
    <t>淀川区</t>
  </si>
  <si>
    <t>東淀川区</t>
  </si>
  <si>
    <t>東成区</t>
  </si>
  <si>
    <t>生野区</t>
  </si>
  <si>
    <t>旭区</t>
  </si>
  <si>
    <t>城東区</t>
  </si>
  <si>
    <t>鶴見区</t>
  </si>
  <si>
    <t>阿倍野区</t>
  </si>
  <si>
    <t>住之江区</t>
  </si>
  <si>
    <t>住吉区</t>
  </si>
  <si>
    <t>東住吉区</t>
  </si>
  <si>
    <t>平野区</t>
  </si>
  <si>
    <t>西成区</t>
  </si>
  <si>
    <t>他府県</t>
    <rPh sb="0" eb="1">
      <t>タ</t>
    </rPh>
    <rPh sb="1" eb="3">
      <t>フケン</t>
    </rPh>
    <phoneticPr fontId="2"/>
  </si>
  <si>
    <t>滋賀県</t>
  </si>
  <si>
    <t>京都府</t>
  </si>
  <si>
    <t>奈良県</t>
  </si>
  <si>
    <t>兵庫県</t>
  </si>
  <si>
    <t>和歌山県</t>
  </si>
  <si>
    <t>11中河内八尾</t>
  </si>
  <si>
    <t>12中河内南</t>
  </si>
  <si>
    <t>13南河内北</t>
  </si>
  <si>
    <t>14南河内南</t>
  </si>
  <si>
    <t>15泉州北</t>
  </si>
  <si>
    <t>16泉州中</t>
  </si>
  <si>
    <t>17泉州南</t>
  </si>
  <si>
    <t>18大阪市</t>
  </si>
  <si>
    <t>19堺市</t>
  </si>
  <si>
    <t>合計</t>
    <rPh sb="0" eb="2">
      <t>ゴウケイ</t>
    </rPh>
    <phoneticPr fontId="2"/>
  </si>
  <si>
    <t>島本町</t>
  </si>
  <si>
    <t>四條畷市</t>
  </si>
  <si>
    <t>堺区</t>
    <rPh sb="0" eb="2">
      <t>サカイク</t>
    </rPh>
    <phoneticPr fontId="2"/>
  </si>
  <si>
    <t>西区</t>
    <rPh sb="0" eb="1">
      <t>ニシ</t>
    </rPh>
    <phoneticPr fontId="2"/>
  </si>
  <si>
    <t>中区</t>
    <rPh sb="0" eb="1">
      <t>ナカ</t>
    </rPh>
    <rPh sb="1" eb="2">
      <t>ク</t>
    </rPh>
    <phoneticPr fontId="2"/>
  </si>
  <si>
    <t>南区</t>
    <rPh sb="0" eb="2">
      <t>ミナミク</t>
    </rPh>
    <phoneticPr fontId="2"/>
  </si>
  <si>
    <t>北区</t>
    <rPh sb="0" eb="2">
      <t>キタク</t>
    </rPh>
    <phoneticPr fontId="2"/>
  </si>
  <si>
    <t>東区</t>
    <rPh sb="0" eb="2">
      <t>ヒガシク</t>
    </rPh>
    <phoneticPr fontId="2"/>
  </si>
  <si>
    <t>美原区</t>
    <rPh sb="0" eb="3">
      <t>ミハラク</t>
    </rPh>
    <phoneticPr fontId="2"/>
  </si>
  <si>
    <t>その他・不明</t>
    <rPh sb="4" eb="6">
      <t>フメイ</t>
    </rPh>
    <phoneticPr fontId="2"/>
  </si>
  <si>
    <t>アルツハイマー病の認知症・血管性認知症以外の、症状性を含む器質性精神障害（F02-F09）</t>
    <phoneticPr fontId="2"/>
  </si>
  <si>
    <t>その他大阪市</t>
    <rPh sb="2" eb="3">
      <t>タ</t>
    </rPh>
    <rPh sb="3" eb="5">
      <t>オオサカ</t>
    </rPh>
    <rPh sb="5" eb="6">
      <t>シ</t>
    </rPh>
    <phoneticPr fontId="2"/>
  </si>
  <si>
    <t>その他堺市</t>
    <rPh sb="2" eb="3">
      <t>タ</t>
    </rPh>
    <rPh sb="3" eb="5">
      <t>サカイシ</t>
    </rPh>
    <phoneticPr fontId="2"/>
  </si>
  <si>
    <t>列2</t>
  </si>
  <si>
    <t>列3</t>
  </si>
  <si>
    <t>列4</t>
  </si>
  <si>
    <t>列5</t>
  </si>
  <si>
    <t>列6</t>
  </si>
  <si>
    <t>列7</t>
  </si>
  <si>
    <t>列8</t>
  </si>
  <si>
    <t>列9</t>
  </si>
  <si>
    <t>列10</t>
  </si>
  <si>
    <t>列11</t>
  </si>
  <si>
    <t>列12</t>
  </si>
  <si>
    <t>列13</t>
  </si>
  <si>
    <t>列14</t>
  </si>
  <si>
    <t>列15</t>
  </si>
  <si>
    <t>列16</t>
  </si>
  <si>
    <t>列17</t>
  </si>
  <si>
    <t>列18</t>
  </si>
  <si>
    <t>列19</t>
  </si>
  <si>
    <t>列20</t>
  </si>
  <si>
    <t>列21</t>
  </si>
  <si>
    <t>列22</t>
  </si>
  <si>
    <t>列23</t>
  </si>
  <si>
    <t>バージョン　　日付　　　　　内容</t>
    <rPh sb="7" eb="9">
      <t>ヒヅケ</t>
    </rPh>
    <rPh sb="14" eb="16">
      <t>ナイヨウ</t>
    </rPh>
    <phoneticPr fontId="2"/>
  </si>
  <si>
    <t>データの個数 / 年齢</t>
  </si>
  <si>
    <t>データの個数 / 入院</t>
  </si>
  <si>
    <t>措置入院</t>
  </si>
  <si>
    <t>鑑定入院</t>
  </si>
  <si>
    <t>医療観察法による入院</t>
  </si>
  <si>
    <t>データの個数 / 疾患名</t>
  </si>
  <si>
    <t>不明</t>
    <rPh sb="0" eb="2">
      <t>フメイ</t>
    </rPh>
    <phoneticPr fontId="1"/>
  </si>
  <si>
    <t>データの個数 / 在院</t>
  </si>
  <si>
    <t>値</t>
  </si>
  <si>
    <t>98他府県</t>
  </si>
  <si>
    <t>99不明その他</t>
  </si>
  <si>
    <t>Vol.1.0　　　　R5.6.8　　　　新規作成</t>
    <rPh sb="21" eb="23">
      <t>シンキ</t>
    </rPh>
    <rPh sb="23" eb="25">
      <t>サクセイ</t>
    </rPh>
    <phoneticPr fontId="2"/>
  </si>
  <si>
    <t>Vol.1.1　　　　R5.7.6　　　　地域データ　一部修正</t>
    <rPh sb="21" eb="23">
      <t>チイキ</t>
    </rPh>
    <rPh sb="27" eb="29">
      <t>イチブ</t>
    </rPh>
    <rPh sb="29" eb="31">
      <t>シュウセイ</t>
    </rPh>
    <phoneticPr fontId="2"/>
  </si>
  <si>
    <t>&lt;患者全体&gt;</t>
    <rPh sb="1" eb="3">
      <t>カンジャ</t>
    </rPh>
    <rPh sb="3" eb="5">
      <t>ゼンタイ</t>
    </rPh>
    <phoneticPr fontId="2"/>
  </si>
  <si>
    <t>全人数</t>
    <rPh sb="0" eb="1">
      <t>ゼン</t>
    </rPh>
    <rPh sb="1" eb="3">
      <t>ニンズウ</t>
    </rPh>
    <phoneticPr fontId="2"/>
  </si>
  <si>
    <t>入院病院圏域</t>
    <rPh sb="0" eb="2">
      <t>ニュウイン</t>
    </rPh>
    <rPh sb="2" eb="4">
      <t>ビョウイン</t>
    </rPh>
    <rPh sb="4" eb="6">
      <t>ケンイキ</t>
    </rPh>
    <phoneticPr fontId="2"/>
  </si>
  <si>
    <t>19歳以下</t>
    <rPh sb="2" eb="3">
      <t>サイ</t>
    </rPh>
    <rPh sb="3" eb="5">
      <t>イカ</t>
    </rPh>
    <phoneticPr fontId="2"/>
  </si>
  <si>
    <t>豊能</t>
    <rPh sb="0" eb="2">
      <t>トヨノ</t>
    </rPh>
    <phoneticPr fontId="2"/>
  </si>
  <si>
    <t>三島</t>
    <rPh sb="0" eb="2">
      <t>ミシマ</t>
    </rPh>
    <phoneticPr fontId="2"/>
  </si>
  <si>
    <t>北河内</t>
    <rPh sb="0" eb="3">
      <t>キタカワチ</t>
    </rPh>
    <phoneticPr fontId="2"/>
  </si>
  <si>
    <t>中河内</t>
    <rPh sb="0" eb="1">
      <t>ナカ</t>
    </rPh>
    <rPh sb="1" eb="3">
      <t>カワチ</t>
    </rPh>
    <phoneticPr fontId="2"/>
  </si>
  <si>
    <t>南河内</t>
    <rPh sb="0" eb="3">
      <t>ミナミカワチ</t>
    </rPh>
    <phoneticPr fontId="2"/>
  </si>
  <si>
    <t>泉州</t>
    <rPh sb="0" eb="2">
      <t>センシュウ</t>
    </rPh>
    <phoneticPr fontId="2"/>
  </si>
  <si>
    <t>65歳未満</t>
    <rPh sb="3" eb="5">
      <t>ミマン</t>
    </rPh>
    <phoneticPr fontId="2"/>
  </si>
  <si>
    <t>65歳以上</t>
    <rPh sb="3" eb="5">
      <t>イジョウ</t>
    </rPh>
    <phoneticPr fontId="2"/>
  </si>
  <si>
    <t>1年未満</t>
    <rPh sb="1" eb="2">
      <t>ネン</t>
    </rPh>
    <rPh sb="2" eb="4">
      <t>ミマン</t>
    </rPh>
    <phoneticPr fontId="2"/>
  </si>
  <si>
    <t>1年以上5年未満</t>
    <rPh sb="1" eb="4">
      <t>ネンイジョウ</t>
    </rPh>
    <rPh sb="5" eb="6">
      <t>ネン</t>
    </rPh>
    <rPh sb="6" eb="8">
      <t>ミマン</t>
    </rPh>
    <phoneticPr fontId="2"/>
  </si>
  <si>
    <t>5年以上10年未満</t>
    <rPh sb="1" eb="4">
      <t>ネンイジョウ</t>
    </rPh>
    <rPh sb="6" eb="7">
      <t>ネン</t>
    </rPh>
    <rPh sb="7" eb="9">
      <t>ミマン</t>
    </rPh>
    <phoneticPr fontId="2"/>
  </si>
  <si>
    <t>10年以上20年未満</t>
    <rPh sb="2" eb="5">
      <t>ネンイジョウ</t>
    </rPh>
    <rPh sb="7" eb="8">
      <t>ネン</t>
    </rPh>
    <rPh sb="8" eb="10">
      <t>ミマン</t>
    </rPh>
    <phoneticPr fontId="2"/>
  </si>
  <si>
    <t>20年以上</t>
    <rPh sb="2" eb="5">
      <t>ネンイジョウ</t>
    </rPh>
    <phoneticPr fontId="2"/>
  </si>
  <si>
    <t>状態像</t>
    <rPh sb="0" eb="2">
      <t>ジョウタイ</t>
    </rPh>
    <rPh sb="2" eb="3">
      <t>ゾウ</t>
    </rPh>
    <phoneticPr fontId="2"/>
  </si>
  <si>
    <t>その他</t>
    <phoneticPr fontId="2"/>
  </si>
  <si>
    <t>精神遅滞〔知的障害〕（F7)</t>
  </si>
  <si>
    <t>&lt;1年以上&gt;</t>
    <rPh sb="2" eb="5">
      <t>ネンイジョウ</t>
    </rPh>
    <phoneticPr fontId="2"/>
  </si>
  <si>
    <t>＜自動計算＿患者全体＞</t>
  </si>
  <si>
    <t>全体</t>
  </si>
  <si>
    <t>疾患名区分</t>
  </si>
  <si>
    <t>状態像</t>
  </si>
  <si>
    <t>全人数</t>
  </si>
  <si>
    <t>アルツハイマー病の認知症・血管性認知症以外の、_x000D_
症状性を含む器質性精神障害（F02-F09）</t>
  </si>
  <si>
    <t>＜自動計算＿1年以上＞</t>
  </si>
  <si>
    <t>【状態像区分×病院所在地（圏域）＿1年以上】</t>
    <rPh sb="1" eb="3">
      <t>ジョウタイ</t>
    </rPh>
    <rPh sb="3" eb="4">
      <t>ゾウ</t>
    </rPh>
    <rPh sb="18" eb="21">
      <t>ネンイジョウ</t>
    </rPh>
    <phoneticPr fontId="2"/>
  </si>
  <si>
    <t>Vol.2.0　　　　R5.10.17 　　 病院データ（状態像）修正</t>
    <rPh sb="23" eb="25">
      <t>ビョウイン</t>
    </rPh>
    <rPh sb="29" eb="31">
      <t>ジョウタイ</t>
    </rPh>
    <rPh sb="31" eb="32">
      <t>ゾウ</t>
    </rPh>
    <rPh sb="33" eb="35">
      <t>シュウセイ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</si>
</sst>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_ ;[Red]\-#,##0\ "/>
    <numFmt numFmtId="177" formatCode="0.0%"/>
    <numFmt numFmtId="178" formatCode="\(#,##0\)"/>
    <numFmt numFmtId="179" formatCode="0_);[Red]\(0\)"/>
    <numFmt numFmtId="180" formatCode="\(0.0%\)"/>
    <numFmt numFmtId="181" formatCode="#,##0_);[Red]\(#,##0\)"/>
    <numFmt numFmtId="182" formatCode="#,##0_ "/>
    <numFmt numFmtId="183" formatCode="&quot;「割合」には退院阻害要因がある&quot;#,##0&quot;人に対する割合を表示しています。&quot;"/>
    <numFmt numFmtId="184" formatCode="&quot;「割合」には退院阻害要因がある人の合計&quot;#,##0&quot;人に対する割合を表示しています。&quot;"/>
    <numFmt numFmtId="185" formatCode="#,###&quot;人&quot;"/>
    <numFmt numFmtId="186" formatCode="#,##0&quot;人&quot;"/>
    <numFmt numFmtId="187" formatCode="\(#,##0&quot;人&quot;\)"/>
    <numFmt numFmtId="188" formatCode="0.0"/>
  </numFmts>
  <fonts count="4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11"/>
      <color theme="1"/>
      <name val="メイリオ"/>
      <family val="3"/>
      <charset val="128"/>
    </font>
    <font>
      <b/>
      <sz val="12"/>
      <color theme="1"/>
      <name val="メイリオ"/>
      <family val="3"/>
      <charset val="128"/>
    </font>
    <font>
      <sz val="12"/>
      <color theme="1"/>
      <name val="メイリオ"/>
      <family val="3"/>
      <charset val="128"/>
    </font>
    <font>
      <b/>
      <sz val="11"/>
      <color theme="1"/>
      <name val="メイリオ"/>
      <family val="3"/>
      <charset val="128"/>
    </font>
    <font>
      <sz val="11"/>
      <color rgb="FFFF0000"/>
      <name val="メイリオ"/>
      <family val="3"/>
      <charset val="128"/>
    </font>
    <font>
      <b/>
      <sz val="11"/>
      <color rgb="FFFF0000"/>
      <name val="メイリオ"/>
      <family val="3"/>
      <charset val="128"/>
    </font>
    <font>
      <sz val="11"/>
      <color theme="0"/>
      <name val="メイリオ"/>
      <family val="3"/>
      <charset val="128"/>
    </font>
    <font>
      <sz val="8"/>
      <color theme="1"/>
      <name val="メイリオ"/>
      <family val="3"/>
      <charset val="128"/>
    </font>
    <font>
      <sz val="9"/>
      <color theme="1"/>
      <name val="メイリオ"/>
      <family val="3"/>
      <charset val="128"/>
    </font>
    <font>
      <b/>
      <sz val="9"/>
      <color theme="1"/>
      <name val="メイリオ"/>
      <family val="3"/>
      <charset val="128"/>
    </font>
    <font>
      <b/>
      <sz val="10"/>
      <color theme="1"/>
      <name val="メイリオ"/>
      <family val="3"/>
      <charset val="128"/>
    </font>
    <font>
      <sz val="10"/>
      <color theme="1"/>
      <name val="メイリオ"/>
      <family val="3"/>
      <charset val="128"/>
    </font>
    <font>
      <sz val="11"/>
      <name val="メイリオ"/>
      <family val="3"/>
      <charset val="128"/>
    </font>
    <font>
      <b/>
      <sz val="12"/>
      <name val="メイリオ"/>
      <family val="3"/>
      <charset val="128"/>
    </font>
    <font>
      <sz val="7.5"/>
      <color theme="1"/>
      <name val="メイリオ"/>
      <family val="3"/>
      <charset val="128"/>
    </font>
    <font>
      <b/>
      <sz val="12"/>
      <color theme="0"/>
      <name val="メイリオ"/>
      <family val="3"/>
      <charset val="128"/>
    </font>
    <font>
      <b/>
      <sz val="11"/>
      <color theme="0"/>
      <name val="メイリオ"/>
      <family val="3"/>
      <charset val="128"/>
    </font>
    <font>
      <b/>
      <sz val="11"/>
      <color theme="1"/>
      <name val="ＭＳ Ｐゴシック"/>
      <family val="3"/>
      <charset val="128"/>
    </font>
    <font>
      <b/>
      <sz val="14"/>
      <color theme="1"/>
      <name val="メイリオ"/>
      <family val="3"/>
      <charset val="128"/>
    </font>
    <font>
      <b/>
      <sz val="18"/>
      <color theme="1"/>
      <name val="メイリオ"/>
      <family val="3"/>
      <charset val="128"/>
    </font>
    <font>
      <sz val="11"/>
      <color rgb="FFFF0000"/>
      <name val="ＭＳ Ｐゴシック"/>
      <family val="2"/>
      <charset val="128"/>
      <scheme val="minor"/>
    </font>
    <font>
      <b/>
      <sz val="10"/>
      <color rgb="FFFF0000"/>
      <name val="メイリオ"/>
      <family val="3"/>
      <charset val="128"/>
    </font>
    <font>
      <sz val="11"/>
      <color rgb="FF0066CC"/>
      <name val="メイリオ"/>
      <family val="3"/>
      <charset val="128"/>
    </font>
    <font>
      <sz val="12"/>
      <color rgb="FF0066CC"/>
      <name val="メイリオ"/>
      <family val="3"/>
      <charset val="128"/>
    </font>
    <font>
      <sz val="10"/>
      <color rgb="FFFF0000"/>
      <name val="メイリオ"/>
      <family val="3"/>
      <charset val="128"/>
    </font>
    <font>
      <b/>
      <sz val="12"/>
      <color rgb="FFFF0000"/>
      <name val="メイリオ"/>
      <family val="3"/>
      <charset val="128"/>
    </font>
    <font>
      <sz val="9"/>
      <color rgb="FFFF0000"/>
      <name val="メイリオ"/>
      <family val="3"/>
      <charset val="128"/>
    </font>
    <font>
      <b/>
      <sz val="11"/>
      <color theme="1"/>
      <name val="ＭＳ Ｐゴシック"/>
      <family val="2"/>
      <charset val="128"/>
      <scheme val="minor"/>
    </font>
    <font>
      <sz val="11"/>
      <color rgb="FF000000"/>
      <name val="ＭＳ Ｐゴシック"/>
      <family val="3"/>
      <charset val="128"/>
    </font>
    <font>
      <sz val="9"/>
      <color theme="0"/>
      <name val="メイリオ"/>
      <family val="3"/>
      <charset val="128"/>
    </font>
    <font>
      <sz val="7.8"/>
      <color theme="1"/>
      <name val="メイリオ"/>
      <family val="3"/>
      <charset val="128"/>
    </font>
    <font>
      <sz val="12"/>
      <color theme="0"/>
      <name val="メイリオ"/>
      <family val="3"/>
      <charset val="128"/>
    </font>
    <font>
      <b/>
      <sz val="6"/>
      <color theme="1"/>
      <name val="メイリオ"/>
      <family val="3"/>
      <charset val="128"/>
    </font>
    <font>
      <sz val="9"/>
      <name val="メイリオ"/>
      <family val="3"/>
      <charset val="128"/>
    </font>
    <font>
      <b/>
      <sz val="11"/>
      <name val="メイリオ"/>
      <family val="3"/>
      <charset val="128"/>
    </font>
    <font>
      <b/>
      <sz val="9"/>
      <name val="メイリオ"/>
      <family val="3"/>
      <charset val="128"/>
    </font>
    <font>
      <sz val="12"/>
      <name val="メイリオ"/>
      <family val="3"/>
      <charset val="128"/>
    </font>
    <font>
      <sz val="9"/>
      <color theme="1"/>
      <name val="ＭＳ Ｐゴシック"/>
      <family val="2"/>
      <charset val="128"/>
      <scheme val="minor"/>
    </font>
    <font>
      <sz val="11"/>
      <color rgb="FF000000"/>
      <name val="メイリオ"/>
      <family val="3"/>
      <charset val="128"/>
    </font>
    <font>
      <sz val="12"/>
      <color rgb="FF000000"/>
      <name val="メイリオ"/>
      <family val="3"/>
      <charset val="128"/>
    </font>
    <font>
      <sz val="14"/>
      <color rgb="FF000000"/>
      <name val="メイリオ"/>
      <family val="3"/>
      <charset val="128"/>
    </font>
    <font>
      <b/>
      <sz val="48"/>
      <color theme="1"/>
      <name val="メイリオ"/>
      <family val="3"/>
      <charset val="128"/>
    </font>
  </fonts>
  <fills count="23">
    <fill>
      <patternFill patternType="none"/>
    </fill>
    <fill>
      <patternFill patternType="gray125"/>
    </fill>
    <fill>
      <patternFill patternType="solid">
        <fgColor theme="6" tint="0.59999389629810485"/>
        <bgColor theme="4" tint="0.79998168889431442"/>
      </patternFill>
    </fill>
    <fill>
      <patternFill patternType="solid">
        <fgColor theme="5" tint="-0.49998474074526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theme="6" tint="0.39997558519241921"/>
        <bgColor indexed="64"/>
      </patternFill>
    </fill>
    <fill>
      <patternFill patternType="solid">
        <fgColor theme="0"/>
        <bgColor indexed="64"/>
      </patternFill>
    </fill>
    <fill>
      <patternFill patternType="solid">
        <fgColor theme="4" tint="0.79998168889431442"/>
        <bgColor indexed="64"/>
      </patternFill>
    </fill>
    <fill>
      <patternFill patternType="solid">
        <fgColor theme="3" tint="0.79998168889431442"/>
        <bgColor theme="4" tint="0.79998168889431442"/>
      </patternFill>
    </fill>
    <fill>
      <patternFill patternType="solid">
        <fgColor theme="3" tint="0.79998168889431442"/>
        <bgColor indexed="64"/>
      </patternFill>
    </fill>
    <fill>
      <patternFill patternType="solid">
        <fgColor rgb="FFFFC000"/>
        <bgColor indexed="64"/>
      </patternFill>
    </fill>
    <fill>
      <patternFill patternType="solid">
        <fgColor rgb="FFFFC000"/>
        <bgColor theme="4" tint="0.79998168889431442"/>
      </patternFill>
    </fill>
    <fill>
      <patternFill patternType="solid">
        <fgColor rgb="FF00B050"/>
        <bgColor indexed="64"/>
      </patternFill>
    </fill>
    <fill>
      <patternFill patternType="solid">
        <fgColor theme="4"/>
        <bgColor theme="4"/>
      </patternFill>
    </fill>
    <fill>
      <patternFill patternType="solid">
        <fgColor theme="5" tint="0.79998168889431442"/>
        <bgColor indexed="64"/>
      </patternFill>
    </fill>
    <fill>
      <patternFill patternType="solid">
        <fgColor rgb="FF00B0F0"/>
        <bgColor theme="4" tint="0.79998168889431442"/>
      </patternFill>
    </fill>
    <fill>
      <patternFill patternType="solid">
        <fgColor theme="9" tint="0.59996337778862885"/>
        <bgColor theme="4" tint="0.79998168889431442"/>
      </patternFill>
    </fill>
    <fill>
      <patternFill patternType="solid">
        <fgColor theme="9" tint="0.59996337778862885"/>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4" tint="0.59999389629810485"/>
        <bgColor theme="4" tint="0.79998168889431442"/>
      </patternFill>
    </fill>
  </fills>
  <borders count="159">
    <border>
      <left/>
      <right/>
      <top/>
      <bottom/>
      <diagonal/>
    </border>
    <border>
      <left/>
      <right/>
      <top style="thin">
        <color theme="6" tint="-0.499984740745262"/>
      </top>
      <bottom/>
      <diagonal/>
    </border>
    <border>
      <left/>
      <right/>
      <top style="thin">
        <color theme="6" tint="-0.499984740745262"/>
      </top>
      <bottom style="thin">
        <color theme="6" tint="-0.499984740745262"/>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style="thin">
        <color auto="1"/>
      </top>
      <bottom style="hair">
        <color auto="1"/>
      </bottom>
      <diagonal/>
    </border>
    <border>
      <left style="dotted">
        <color auto="1"/>
      </left>
      <right style="thin">
        <color auto="1"/>
      </right>
      <top style="thin">
        <color auto="1"/>
      </top>
      <bottom style="hair">
        <color auto="1"/>
      </bottom>
      <diagonal/>
    </border>
    <border>
      <left style="thin">
        <color auto="1"/>
      </left>
      <right style="dotted">
        <color auto="1"/>
      </right>
      <top style="hair">
        <color auto="1"/>
      </top>
      <bottom style="hair">
        <color auto="1"/>
      </bottom>
      <diagonal/>
    </border>
    <border>
      <left style="dotted">
        <color auto="1"/>
      </left>
      <right style="thin">
        <color auto="1"/>
      </right>
      <top style="hair">
        <color auto="1"/>
      </top>
      <bottom style="hair">
        <color auto="1"/>
      </bottom>
      <diagonal/>
    </border>
    <border>
      <left style="thin">
        <color auto="1"/>
      </left>
      <right style="dotted">
        <color auto="1"/>
      </right>
      <top style="hair">
        <color auto="1"/>
      </top>
      <bottom style="thin">
        <color auto="1"/>
      </bottom>
      <diagonal/>
    </border>
    <border>
      <left style="dotted">
        <color auto="1"/>
      </left>
      <right style="thin">
        <color auto="1"/>
      </right>
      <top style="hair">
        <color auto="1"/>
      </top>
      <bottom style="thin">
        <color auto="1"/>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thin">
        <color auto="1"/>
      </left>
      <right/>
      <top style="hair">
        <color auto="1"/>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bottom style="thin">
        <color theme="4" tint="0.39997558519241921"/>
      </bottom>
      <diagonal/>
    </border>
    <border>
      <left/>
      <right/>
      <top style="thin">
        <color theme="4" tint="0.39997558519241921"/>
      </top>
      <bottom/>
      <diagonal/>
    </border>
    <border>
      <left/>
      <right/>
      <top style="thin">
        <color rgb="FF0070C0"/>
      </top>
      <bottom/>
      <diagonal/>
    </border>
    <border>
      <left/>
      <right/>
      <top/>
      <bottom style="thin">
        <color rgb="FF0070C0"/>
      </bottom>
      <diagonal/>
    </border>
    <border>
      <left style="dotted">
        <color auto="1"/>
      </left>
      <right style="thin">
        <color auto="1"/>
      </right>
      <top/>
      <bottom style="hair">
        <color auto="1"/>
      </bottom>
      <diagonal/>
    </border>
    <border>
      <left style="dotted">
        <color auto="1"/>
      </left>
      <right style="thin">
        <color auto="1"/>
      </right>
      <top style="hair">
        <color auto="1"/>
      </top>
      <bottom/>
      <diagonal/>
    </border>
    <border>
      <left style="thin">
        <color auto="1"/>
      </left>
      <right style="dotted">
        <color auto="1"/>
      </right>
      <top style="hair">
        <color indexed="64"/>
      </top>
      <bottom/>
      <diagonal/>
    </border>
    <border>
      <left style="thin">
        <color auto="1"/>
      </left>
      <right style="dotted">
        <color auto="1"/>
      </right>
      <top/>
      <bottom style="hair">
        <color auto="1"/>
      </bottom>
      <diagonal/>
    </border>
    <border>
      <left style="thin">
        <color auto="1"/>
      </left>
      <right style="dotted">
        <color auto="1"/>
      </right>
      <top/>
      <bottom/>
      <diagonal/>
    </border>
    <border>
      <left style="hair">
        <color indexed="64"/>
      </left>
      <right style="dotted">
        <color auto="1"/>
      </right>
      <top style="hair">
        <color indexed="64"/>
      </top>
      <bottom style="hair">
        <color indexed="64"/>
      </bottom>
      <diagonal/>
    </border>
    <border>
      <left/>
      <right/>
      <top style="thin">
        <color theme="6" tint="-0.499984740745262"/>
      </top>
      <bottom style="thin">
        <color indexed="64"/>
      </bottom>
      <diagonal/>
    </border>
    <border>
      <left style="hair">
        <color auto="1"/>
      </left>
      <right style="thin">
        <color auto="1"/>
      </right>
      <top style="thin">
        <color auto="1"/>
      </top>
      <bottom style="thin">
        <color auto="1"/>
      </bottom>
      <diagonal/>
    </border>
    <border>
      <left style="thin">
        <color auto="1"/>
      </left>
      <right/>
      <top/>
      <bottom/>
      <diagonal/>
    </border>
    <border>
      <left style="thin">
        <color auto="1"/>
      </left>
      <right style="hair">
        <color indexed="64"/>
      </right>
      <top style="thin">
        <color auto="1"/>
      </top>
      <bottom style="thin">
        <color auto="1"/>
      </bottom>
      <diagonal/>
    </border>
    <border>
      <left style="thin">
        <color auto="1"/>
      </left>
      <right/>
      <top/>
      <bottom style="thin">
        <color auto="1"/>
      </bottom>
      <diagonal/>
    </border>
    <border>
      <left style="thin">
        <color auto="1"/>
      </left>
      <right style="thin">
        <color auto="1"/>
      </right>
      <top style="hair">
        <color auto="1"/>
      </top>
      <bottom/>
      <diagonal/>
    </border>
    <border>
      <left/>
      <right style="thin">
        <color indexed="64"/>
      </right>
      <top/>
      <bottom style="thin">
        <color indexed="64"/>
      </bottom>
      <diagonal/>
    </border>
    <border>
      <left/>
      <right style="double">
        <color indexed="64"/>
      </right>
      <top style="thin">
        <color indexed="64"/>
      </top>
      <bottom style="thin">
        <color indexed="64"/>
      </bottom>
      <diagonal/>
    </border>
    <border>
      <left style="hair">
        <color indexed="64"/>
      </left>
      <right style="double">
        <color indexed="64"/>
      </right>
      <top style="thin">
        <color auto="1"/>
      </top>
      <bottom style="thin">
        <color auto="1"/>
      </bottom>
      <diagonal/>
    </border>
    <border>
      <left style="double">
        <color indexed="64"/>
      </left>
      <right style="hair">
        <color indexed="64"/>
      </right>
      <top style="thin">
        <color indexed="64"/>
      </top>
      <bottom style="thin">
        <color indexed="64"/>
      </bottom>
      <diagonal/>
    </border>
    <border>
      <left/>
      <right style="dotted">
        <color auto="1"/>
      </right>
      <top style="hair">
        <color indexed="64"/>
      </top>
      <bottom style="hair">
        <color indexed="64"/>
      </bottom>
      <diagonal/>
    </border>
    <border>
      <left/>
      <right style="hair">
        <color indexed="64"/>
      </right>
      <top style="hair">
        <color indexed="64"/>
      </top>
      <bottom style="hair">
        <color indexed="64"/>
      </bottom>
      <diagonal/>
    </border>
    <border>
      <left/>
      <right style="dotted">
        <color auto="1"/>
      </right>
      <top/>
      <bottom/>
      <diagonal/>
    </border>
    <border>
      <left/>
      <right style="dotted">
        <color auto="1"/>
      </right>
      <top style="hair">
        <color auto="1"/>
      </top>
      <bottom/>
      <diagonal/>
    </border>
    <border>
      <left/>
      <right style="hair">
        <color indexed="64"/>
      </right>
      <top style="hair">
        <color indexed="64"/>
      </top>
      <bottom/>
      <diagonal/>
    </border>
    <border>
      <left style="thin">
        <color theme="0"/>
      </left>
      <right style="thin">
        <color theme="0"/>
      </right>
      <top style="thin">
        <color theme="0"/>
      </top>
      <bottom style="thin">
        <color theme="0"/>
      </bottom>
      <diagonal/>
    </border>
    <border>
      <left/>
      <right style="dotted">
        <color auto="1"/>
      </right>
      <top style="thin">
        <color auto="1"/>
      </top>
      <bottom style="hair">
        <color auto="1"/>
      </bottom>
      <diagonal/>
    </border>
    <border>
      <left/>
      <right style="dotted">
        <color auto="1"/>
      </right>
      <top style="thin">
        <color auto="1"/>
      </top>
      <bottom style="thin">
        <color auto="1"/>
      </bottom>
      <diagonal/>
    </border>
    <border>
      <left/>
      <right style="dotted">
        <color auto="1"/>
      </right>
      <top/>
      <bottom style="hair">
        <color auto="1"/>
      </bottom>
      <diagonal/>
    </border>
    <border>
      <left style="thin">
        <color auto="1"/>
      </left>
      <right style="dotted">
        <color auto="1"/>
      </right>
      <top/>
      <bottom style="thin">
        <color auto="1"/>
      </bottom>
      <diagonal/>
    </border>
    <border>
      <left style="dotted">
        <color auto="1"/>
      </left>
      <right style="thin">
        <color auto="1"/>
      </right>
      <top/>
      <bottom/>
      <diagonal/>
    </border>
    <border>
      <left/>
      <right style="thin">
        <color theme="0"/>
      </right>
      <top style="thin">
        <color theme="0"/>
      </top>
      <bottom style="thin">
        <color theme="0"/>
      </bottom>
      <diagonal/>
    </border>
    <border>
      <left style="dotted">
        <color auto="1"/>
      </left>
      <right/>
      <top style="thin">
        <color auto="1"/>
      </top>
      <bottom style="thin">
        <color auto="1"/>
      </bottom>
      <diagonal/>
    </border>
    <border>
      <left style="dotted">
        <color auto="1"/>
      </left>
      <right style="thin">
        <color auto="1"/>
      </right>
      <top/>
      <bottom style="thin">
        <color auto="1"/>
      </bottom>
      <diagonal/>
    </border>
    <border>
      <left style="thin">
        <color indexed="64"/>
      </left>
      <right/>
      <top style="thin">
        <color theme="6" tint="-0.499984740745262"/>
      </top>
      <bottom/>
      <diagonal/>
    </border>
    <border>
      <left style="thin">
        <color auto="1"/>
      </left>
      <right/>
      <top style="thin">
        <color auto="1"/>
      </top>
      <bottom style="thin">
        <color theme="6" tint="-0.499984740745262"/>
      </bottom>
      <diagonal/>
    </border>
    <border>
      <left/>
      <right/>
      <top style="thin">
        <color auto="1"/>
      </top>
      <bottom style="thin">
        <color theme="6" tint="-0.499984740745262"/>
      </bottom>
      <diagonal/>
    </border>
    <border>
      <left style="thin">
        <color auto="1"/>
      </left>
      <right style="thin">
        <color theme="6" tint="-0.499984740745262"/>
      </right>
      <top/>
      <bottom/>
      <diagonal/>
    </border>
    <border>
      <left style="thin">
        <color auto="1"/>
      </left>
      <right style="thin">
        <color theme="6" tint="-0.499984740745262"/>
      </right>
      <top/>
      <bottom style="thin">
        <color theme="6" tint="-0.499984740745262"/>
      </bottom>
      <diagonal/>
    </border>
    <border>
      <left style="thin">
        <color auto="1"/>
      </left>
      <right/>
      <top style="thin">
        <color theme="6" tint="-0.499984740745262"/>
      </top>
      <bottom style="thin">
        <color theme="6" tint="-0.499984740745262"/>
      </bottom>
      <diagonal/>
    </border>
    <border>
      <left style="thin">
        <color auto="1"/>
      </left>
      <right/>
      <top style="thin">
        <color theme="6" tint="-0.499984740745262"/>
      </top>
      <bottom style="thin">
        <color auto="1"/>
      </bottom>
      <diagonal/>
    </border>
    <border>
      <left style="thin">
        <color theme="6" tint="-0.499984740745262"/>
      </left>
      <right/>
      <top style="thin">
        <color theme="6" tint="-0.499984740745262"/>
      </top>
      <bottom style="hair">
        <color theme="6" tint="-0.499984740745262"/>
      </bottom>
      <diagonal/>
    </border>
    <border>
      <left style="thin">
        <color theme="6" tint="-0.499984740745262"/>
      </left>
      <right/>
      <top style="hair">
        <color theme="6" tint="-0.499984740745262"/>
      </top>
      <bottom style="hair">
        <color theme="6" tint="-0.499984740745262"/>
      </bottom>
      <diagonal/>
    </border>
    <border>
      <left style="thin">
        <color theme="6" tint="-0.499984740745262"/>
      </left>
      <right/>
      <top style="hair">
        <color theme="6" tint="-0.499984740745262"/>
      </top>
      <bottom style="thin">
        <color theme="6" tint="-0.499984740745262"/>
      </bottom>
      <diagonal/>
    </border>
    <border>
      <left style="thin">
        <color theme="6" tint="-0.499984740745262"/>
      </left>
      <right/>
      <top style="thin">
        <color auto="1"/>
      </top>
      <bottom style="hair">
        <color theme="6" tint="-0.499984740745262"/>
      </bottom>
      <diagonal/>
    </border>
    <border>
      <left style="thin">
        <color theme="6" tint="-0.499984740745262"/>
      </left>
      <right/>
      <top style="hair">
        <color theme="6" tint="-0.499984740745262"/>
      </top>
      <bottom style="thin">
        <color auto="1"/>
      </bottom>
      <diagonal/>
    </border>
    <border>
      <left style="thin">
        <color auto="1"/>
      </left>
      <right style="thin">
        <color auto="1"/>
      </right>
      <top style="thin">
        <color auto="1"/>
      </top>
      <bottom style="hair">
        <color theme="6" tint="-0.499984740745262"/>
      </bottom>
      <diagonal/>
    </border>
    <border>
      <left style="thin">
        <color auto="1"/>
      </left>
      <right style="thin">
        <color auto="1"/>
      </right>
      <top style="hair">
        <color theme="6" tint="-0.499984740745262"/>
      </top>
      <bottom style="hair">
        <color theme="6" tint="-0.499984740745262"/>
      </bottom>
      <diagonal/>
    </border>
    <border>
      <left style="thin">
        <color auto="1"/>
      </left>
      <right style="thin">
        <color auto="1"/>
      </right>
      <top style="hair">
        <color theme="6" tint="-0.499984740745262"/>
      </top>
      <bottom style="thin">
        <color auto="1"/>
      </bottom>
      <diagonal/>
    </border>
    <border>
      <left style="thin">
        <color auto="1"/>
      </left>
      <right style="thin">
        <color theme="6" tint="-0.499984740745262"/>
      </right>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style="thin">
        <color theme="0"/>
      </left>
      <right style="thin">
        <color theme="0"/>
      </right>
      <top/>
      <bottom/>
      <diagonal/>
    </border>
    <border>
      <left style="thick">
        <color rgb="FFFFFF00"/>
      </left>
      <right style="thick">
        <color rgb="FFFFFF00"/>
      </right>
      <top style="thick">
        <color rgb="FFFFFF00"/>
      </top>
      <bottom style="thick">
        <color rgb="FFFFFF00"/>
      </bottom>
      <diagonal/>
    </border>
    <border>
      <left style="thin">
        <color theme="4" tint="0.39997558519241921"/>
      </left>
      <right/>
      <top style="thin">
        <color theme="4" tint="0.3999755851924192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dotted">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dotted">
        <color auto="1"/>
      </right>
      <top style="thin">
        <color auto="1"/>
      </top>
      <bottom style="medium">
        <color auto="1"/>
      </bottom>
      <diagonal/>
    </border>
    <border>
      <left style="dotted">
        <color auto="1"/>
      </left>
      <right style="thin">
        <color auto="1"/>
      </right>
      <top style="thin">
        <color auto="1"/>
      </top>
      <bottom style="medium">
        <color auto="1"/>
      </bottom>
      <diagonal/>
    </border>
    <border>
      <left style="dotted">
        <color auto="1"/>
      </left>
      <right style="medium">
        <color auto="1"/>
      </right>
      <top style="thin">
        <color auto="1"/>
      </top>
      <bottom style="medium">
        <color auto="1"/>
      </bottom>
      <diagonal/>
    </border>
    <border>
      <left/>
      <right style="thin">
        <color auto="1"/>
      </right>
      <top style="thin">
        <color theme="6" tint="-0.499984740745262"/>
      </top>
      <bottom style="thin">
        <color theme="6" tint="-0.499984740745262"/>
      </bottom>
      <diagonal/>
    </border>
    <border>
      <left/>
      <right style="thin">
        <color theme="4" tint="0.39997558519241921"/>
      </right>
      <top style="thin">
        <color theme="4" tint="0.39997558519241921"/>
      </top>
      <bottom style="thin">
        <color theme="4" tint="0.39997558519241921"/>
      </bottom>
      <diagonal/>
    </border>
    <border>
      <left/>
      <right/>
      <top style="thick">
        <color rgb="FFFFFF00"/>
      </top>
      <bottom/>
      <diagonal/>
    </border>
    <border>
      <left style="thin">
        <color theme="0"/>
      </left>
      <right style="thin">
        <color theme="0"/>
      </right>
      <top/>
      <bottom style="thin">
        <color theme="0"/>
      </bottom>
      <diagonal/>
    </border>
    <border>
      <left style="thin">
        <color theme="0"/>
      </left>
      <right/>
      <top/>
      <bottom/>
      <diagonal/>
    </border>
    <border>
      <left/>
      <right style="dotted">
        <color auto="1"/>
      </right>
      <top style="hair">
        <color auto="1"/>
      </top>
      <bottom style="thin">
        <color indexed="64"/>
      </bottom>
      <diagonal/>
    </border>
    <border>
      <left/>
      <right style="thin">
        <color auto="1"/>
      </right>
      <top/>
      <bottom style="hair">
        <color auto="1"/>
      </bottom>
      <diagonal/>
    </border>
    <border>
      <left style="thin">
        <color auto="1"/>
      </left>
      <right style="thin">
        <color auto="1"/>
      </right>
      <top/>
      <bottom style="hair">
        <color auto="1"/>
      </bottom>
      <diagonal/>
    </border>
    <border>
      <left style="thin">
        <color auto="1"/>
      </left>
      <right style="thin">
        <color auto="1"/>
      </right>
      <top style="medium">
        <color indexed="64"/>
      </top>
      <bottom style="medium">
        <color indexed="64"/>
      </bottom>
      <diagonal/>
    </border>
    <border>
      <left style="thin">
        <color theme="0"/>
      </left>
      <right/>
      <top style="thin">
        <color theme="0"/>
      </top>
      <bottom/>
      <diagonal/>
    </border>
    <border>
      <left style="thick">
        <color rgb="FFFFFF00"/>
      </left>
      <right/>
      <top style="thick">
        <color rgb="FFFFFF00"/>
      </top>
      <bottom/>
      <diagonal/>
    </border>
    <border>
      <left style="thick">
        <color rgb="FFFFFF00"/>
      </left>
      <right/>
      <top style="thin">
        <color theme="4" tint="0.39997558519241921"/>
      </top>
      <bottom/>
      <diagonal/>
    </border>
    <border>
      <left/>
      <right style="thin">
        <color theme="4" tint="0.39997558519241921"/>
      </right>
      <top style="thin">
        <color theme="4" tint="0.39997558519241921"/>
      </top>
      <bottom/>
      <diagonal/>
    </border>
    <border>
      <left style="thick">
        <color theme="0"/>
      </left>
      <right/>
      <top style="thin">
        <color theme="0"/>
      </top>
      <bottom/>
      <diagonal/>
    </border>
    <border>
      <left style="thin">
        <color theme="0"/>
      </left>
      <right/>
      <top style="thin">
        <color theme="4" tint="0.39997558519241921"/>
      </top>
      <bottom/>
      <diagonal/>
    </border>
    <border>
      <left style="thin">
        <color theme="0"/>
      </left>
      <right/>
      <top style="thick">
        <color theme="0"/>
      </top>
      <bottom/>
      <diagonal/>
    </border>
    <border>
      <left/>
      <right/>
      <top style="thin">
        <color theme="0"/>
      </top>
      <bottom/>
      <diagonal/>
    </border>
    <border>
      <left style="thick">
        <color rgb="FFFFFF00"/>
      </left>
      <right/>
      <top style="thin">
        <color theme="0"/>
      </top>
      <bottom/>
      <diagonal/>
    </border>
    <border>
      <left style="thin">
        <color auto="1"/>
      </left>
      <right style="thin">
        <color auto="1"/>
      </right>
      <top style="thin">
        <color auto="1"/>
      </top>
      <bottom style="medium">
        <color indexed="64"/>
      </bottom>
      <diagonal/>
    </border>
    <border>
      <left style="thin">
        <color theme="4" tint="0.39997558519241921"/>
      </left>
      <right/>
      <top/>
      <bottom/>
      <diagonal/>
    </border>
    <border>
      <left/>
      <right style="thin">
        <color theme="4" tint="0.39997558519241921"/>
      </right>
      <top/>
      <bottom/>
      <diagonal/>
    </border>
    <border>
      <left style="thin">
        <color theme="0"/>
      </left>
      <right style="thin">
        <color theme="0"/>
      </right>
      <top style="thin">
        <color rgb="FFFFFF00"/>
      </top>
      <bottom style="thin">
        <color theme="0"/>
      </bottom>
      <diagonal/>
    </border>
    <border>
      <left style="thin">
        <color indexed="64"/>
      </left>
      <right style="thin">
        <color indexed="64"/>
      </right>
      <top style="thin">
        <color indexed="64"/>
      </top>
      <bottom style="double">
        <color indexed="64"/>
      </bottom>
      <diagonal/>
    </border>
    <border>
      <left/>
      <right style="thin">
        <color auto="1"/>
      </right>
      <top style="thin">
        <color auto="1"/>
      </top>
      <bottom style="thin">
        <color theme="6" tint="-0.499984740745262"/>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auto="1"/>
      </left>
      <right style="thin">
        <color auto="1"/>
      </right>
      <top style="double">
        <color indexed="64"/>
      </top>
      <bottom style="thin">
        <color auto="1"/>
      </bottom>
      <diagonal/>
    </border>
    <border>
      <left/>
      <right style="thin">
        <color auto="1"/>
      </right>
      <top style="thin">
        <color theme="6" tint="-0.499984740745262"/>
      </top>
      <bottom/>
      <diagonal/>
    </border>
    <border>
      <left style="thin">
        <color indexed="64"/>
      </left>
      <right/>
      <top style="thin">
        <color theme="6" tint="-0.499984740745262"/>
      </top>
      <bottom style="double">
        <color indexed="64"/>
      </bottom>
      <diagonal/>
    </border>
    <border>
      <left/>
      <right style="thin">
        <color auto="1"/>
      </right>
      <top style="thin">
        <color theme="6" tint="-0.499984740745262"/>
      </top>
      <bottom style="double">
        <color indexed="64"/>
      </bottom>
      <diagonal/>
    </border>
    <border>
      <left style="thin">
        <color indexed="64"/>
      </left>
      <right/>
      <top/>
      <bottom style="double">
        <color indexed="64"/>
      </bottom>
      <diagonal/>
    </border>
    <border>
      <left/>
      <right style="thin">
        <color auto="1"/>
      </right>
      <top/>
      <bottom style="double">
        <color indexed="64"/>
      </bottom>
      <diagonal/>
    </border>
    <border>
      <left style="thin">
        <color indexed="64"/>
      </left>
      <right style="thin">
        <color indexed="64"/>
      </right>
      <top/>
      <bottom style="double">
        <color indexed="64"/>
      </bottom>
      <diagonal/>
    </border>
    <border>
      <left/>
      <right style="thin">
        <color auto="1"/>
      </right>
      <top style="thin">
        <color theme="6" tint="-0.499984740745262"/>
      </top>
      <bottom style="thin">
        <color indexed="64"/>
      </bottom>
      <diagonal/>
    </border>
    <border>
      <left style="thin">
        <color theme="8"/>
      </left>
      <right style="thin">
        <color theme="8"/>
      </right>
      <top style="thin">
        <color theme="8"/>
      </top>
      <bottom style="medium">
        <color theme="8"/>
      </bottom>
      <diagonal/>
    </border>
    <border>
      <left style="thin">
        <color theme="8"/>
      </left>
      <right style="thin">
        <color theme="8"/>
      </right>
      <top style="thin">
        <color theme="8"/>
      </top>
      <bottom style="thin">
        <color theme="8"/>
      </bottom>
      <diagonal/>
    </border>
    <border>
      <left style="thin">
        <color auto="1"/>
      </left>
      <right style="thin">
        <color auto="1"/>
      </right>
      <top style="hair">
        <color theme="6" tint="-0.499984740745262"/>
      </top>
      <bottom style="hair">
        <color auto="1"/>
      </bottom>
      <diagonal/>
    </border>
    <border>
      <left style="medium">
        <color indexed="64"/>
      </left>
      <right style="medium">
        <color indexed="64"/>
      </right>
      <top style="medium">
        <color indexed="64"/>
      </top>
      <bottom style="medium">
        <color indexed="64"/>
      </bottom>
      <diagonal/>
    </border>
    <border>
      <left/>
      <right style="thin">
        <color rgb="FFFFFF00"/>
      </right>
      <top style="medium">
        <color indexed="64"/>
      </top>
      <bottom style="medium">
        <color indexed="64"/>
      </bottom>
      <diagonal/>
    </border>
    <border>
      <left style="thin">
        <color rgb="FFFFFF00"/>
      </left>
      <right style="thin">
        <color rgb="FFFFFF00"/>
      </right>
      <top style="medium">
        <color indexed="64"/>
      </top>
      <bottom style="medium">
        <color indexed="64"/>
      </bottom>
      <diagonal/>
    </border>
    <border>
      <left style="thin">
        <color rgb="FFFFFF00"/>
      </left>
      <right style="medium">
        <color indexed="64"/>
      </right>
      <top style="medium">
        <color indexed="64"/>
      </top>
      <bottom style="medium">
        <color indexed="64"/>
      </bottom>
      <diagonal/>
    </border>
    <border>
      <left style="medium">
        <color indexed="64"/>
      </left>
      <right style="medium">
        <color indexed="64"/>
      </right>
      <top/>
      <bottom style="thin">
        <color rgb="FFFFFF00"/>
      </bottom>
      <diagonal/>
    </border>
    <border>
      <left/>
      <right style="thin">
        <color rgb="FFFFFF00"/>
      </right>
      <top/>
      <bottom style="thin">
        <color rgb="FFFFFF00"/>
      </bottom>
      <diagonal/>
    </border>
    <border>
      <left style="thin">
        <color rgb="FFFFFF00"/>
      </left>
      <right style="thin">
        <color rgb="FFFFFF00"/>
      </right>
      <top/>
      <bottom style="thin">
        <color rgb="FFFFFF00"/>
      </bottom>
      <diagonal/>
    </border>
    <border>
      <left style="medium">
        <color indexed="64"/>
      </left>
      <right style="medium">
        <color indexed="64"/>
      </right>
      <top style="thin">
        <color rgb="FFFFFF00"/>
      </top>
      <bottom style="thin">
        <color rgb="FFFFFF00"/>
      </bottom>
      <diagonal/>
    </border>
    <border>
      <left/>
      <right style="thin">
        <color rgb="FFFFFF00"/>
      </right>
      <top style="thin">
        <color rgb="FFFFFF00"/>
      </top>
      <bottom style="thin">
        <color rgb="FFFFFF00"/>
      </bottom>
      <diagonal/>
    </border>
    <border>
      <left style="thin">
        <color rgb="FFFFFF00"/>
      </left>
      <right style="thin">
        <color rgb="FFFFFF00"/>
      </right>
      <top style="thin">
        <color rgb="FFFFFF00"/>
      </top>
      <bottom style="thin">
        <color rgb="FFFFFF00"/>
      </bottom>
      <diagonal/>
    </border>
    <border>
      <left style="medium">
        <color indexed="64"/>
      </left>
      <right style="medium">
        <color indexed="64"/>
      </right>
      <top style="thin">
        <color rgb="FFFFFF00"/>
      </top>
      <bottom style="medium">
        <color indexed="64"/>
      </bottom>
      <diagonal/>
    </border>
    <border>
      <left style="thin">
        <color theme="8"/>
      </left>
      <right/>
      <top style="thin">
        <color theme="8"/>
      </top>
      <bottom style="medium">
        <color theme="8"/>
      </bottom>
      <diagonal/>
    </border>
    <border>
      <left style="thin">
        <color theme="8"/>
      </left>
      <right/>
      <top style="thin">
        <color theme="8"/>
      </top>
      <bottom style="thin">
        <color theme="8"/>
      </bottom>
      <diagonal/>
    </border>
    <border>
      <left/>
      <right style="thin">
        <color rgb="FF00B050"/>
      </right>
      <top style="medium">
        <color indexed="64"/>
      </top>
      <bottom style="medium">
        <color indexed="64"/>
      </bottom>
      <diagonal/>
    </border>
    <border>
      <left style="thin">
        <color rgb="FF00B050"/>
      </left>
      <right style="thin">
        <color rgb="FF00B050"/>
      </right>
      <top style="medium">
        <color indexed="64"/>
      </top>
      <bottom style="medium">
        <color indexed="64"/>
      </bottom>
      <diagonal/>
    </border>
    <border>
      <left style="thin">
        <color rgb="FF00B050"/>
      </left>
      <right style="medium">
        <color indexed="64"/>
      </right>
      <top style="medium">
        <color indexed="64"/>
      </top>
      <bottom style="medium">
        <color indexed="64"/>
      </bottom>
      <diagonal/>
    </border>
    <border>
      <left style="medium">
        <color indexed="64"/>
      </left>
      <right style="medium">
        <color indexed="64"/>
      </right>
      <top/>
      <bottom style="thin">
        <color rgb="FF00B050"/>
      </bottom>
      <diagonal/>
    </border>
    <border>
      <left/>
      <right style="thin">
        <color rgb="FF00B050"/>
      </right>
      <top/>
      <bottom style="thin">
        <color rgb="FF00B050"/>
      </bottom>
      <diagonal/>
    </border>
    <border>
      <left style="thin">
        <color rgb="FF00B050"/>
      </left>
      <right style="thin">
        <color rgb="FF00B050"/>
      </right>
      <top/>
      <bottom style="thin">
        <color rgb="FF00B050"/>
      </bottom>
      <diagonal/>
    </border>
    <border>
      <left style="thin">
        <color rgb="FF00B050"/>
      </left>
      <right style="medium">
        <color rgb="FF00B050"/>
      </right>
      <top/>
      <bottom style="thin">
        <color rgb="FF00B050"/>
      </bottom>
      <diagonal/>
    </border>
    <border>
      <left style="medium">
        <color indexed="64"/>
      </left>
      <right style="medium">
        <color indexed="64"/>
      </right>
      <top style="thin">
        <color rgb="FF00B050"/>
      </top>
      <bottom style="thin">
        <color rgb="FF00B050"/>
      </bottom>
      <diagonal/>
    </border>
    <border>
      <left style="thin">
        <color theme="8"/>
      </left>
      <right style="thin">
        <color theme="8"/>
      </right>
      <top style="thin">
        <color theme="8"/>
      </top>
      <bottom/>
      <diagonal/>
    </border>
    <border>
      <left style="thin">
        <color theme="8"/>
      </left>
      <right/>
      <top style="thin">
        <color theme="8"/>
      </top>
      <bottom/>
      <diagonal/>
    </border>
    <border>
      <left style="medium">
        <color indexed="64"/>
      </left>
      <right style="medium">
        <color indexed="64"/>
      </right>
      <top style="thin">
        <color rgb="FF00B050"/>
      </top>
      <bottom style="medium">
        <color indexed="64"/>
      </bottom>
      <diagonal/>
    </border>
  </borders>
  <cellStyleXfs count="9">
    <xf numFmtId="0" fontId="0" fillId="0" borderId="0">
      <alignment vertical="center"/>
    </xf>
    <xf numFmtId="9" fontId="1" fillId="0" borderId="0" applyFont="0" applyFill="0" applyBorder="0" applyAlignment="0" applyProtection="0">
      <alignment vertical="center"/>
    </xf>
    <xf numFmtId="0" fontId="3" fillId="0" borderId="0">
      <alignment vertical="center"/>
    </xf>
    <xf numFmtId="0" fontId="4" fillId="0" borderId="0">
      <alignment vertical="center"/>
    </xf>
    <xf numFmtId="0" fontId="4" fillId="0" borderId="0">
      <alignment vertical="center"/>
    </xf>
    <xf numFmtId="0" fontId="3" fillId="0" borderId="0">
      <alignment vertical="center"/>
    </xf>
    <xf numFmtId="0" fontId="4" fillId="0" borderId="0"/>
    <xf numFmtId="38" fontId="1" fillId="0" borderId="0" applyFont="0" applyFill="0" applyBorder="0" applyAlignment="0" applyProtection="0">
      <alignment vertical="center"/>
    </xf>
    <xf numFmtId="38" fontId="4" fillId="0" borderId="0" applyFont="0" applyFill="0" applyBorder="0" applyAlignment="0" applyProtection="0">
      <alignment vertical="center"/>
    </xf>
  </cellStyleXfs>
  <cellXfs count="1045">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8" fillId="0" borderId="0" xfId="0" applyFont="1" applyBorder="1">
      <alignment vertical="center"/>
    </xf>
    <xf numFmtId="0" fontId="7" fillId="0" borderId="0" xfId="0" applyFont="1" applyBorder="1">
      <alignment vertical="center"/>
    </xf>
    <xf numFmtId="0" fontId="5" fillId="0" borderId="0" xfId="0" applyFont="1" applyBorder="1" applyAlignment="1">
      <alignment horizontal="left" vertical="center"/>
    </xf>
    <xf numFmtId="176" fontId="5" fillId="0" borderId="0" xfId="0" applyNumberFormat="1" applyFont="1" applyBorder="1">
      <alignment vertical="center"/>
    </xf>
    <xf numFmtId="0" fontId="9" fillId="0" borderId="0" xfId="0" applyFont="1">
      <alignment vertical="center"/>
    </xf>
    <xf numFmtId="0" fontId="10" fillId="6" borderId="0" xfId="0" applyFont="1" applyFill="1" applyBorder="1" applyAlignment="1">
      <alignment horizontal="center" vertical="center"/>
    </xf>
    <xf numFmtId="0" fontId="10" fillId="6" borderId="0" xfId="0" applyFont="1" applyFill="1" applyBorder="1" applyAlignment="1">
      <alignment horizontal="center" vertical="center" wrapText="1"/>
    </xf>
    <xf numFmtId="0" fontId="9" fillId="0" borderId="0" xfId="0" applyFont="1" applyBorder="1">
      <alignment vertical="center"/>
    </xf>
    <xf numFmtId="176" fontId="9" fillId="0" borderId="0" xfId="0" applyNumberFormat="1" applyFont="1" applyBorder="1">
      <alignment vertical="center"/>
    </xf>
    <xf numFmtId="10" fontId="9" fillId="0" borderId="0" xfId="0" applyNumberFormat="1" applyFont="1" applyBorder="1" applyAlignment="1">
      <alignment horizontal="right" vertical="center" indent="1"/>
    </xf>
    <xf numFmtId="0" fontId="9" fillId="0" borderId="0" xfId="0" applyFont="1" applyAlignment="1">
      <alignment horizontal="left" vertical="center"/>
    </xf>
    <xf numFmtId="176" fontId="9" fillId="0" borderId="0" xfId="0" applyNumberFormat="1" applyFont="1">
      <alignment vertical="center"/>
    </xf>
    <xf numFmtId="10" fontId="9" fillId="0" borderId="0" xfId="0" applyNumberFormat="1" applyFont="1" applyAlignment="1">
      <alignment horizontal="right" vertical="center" indent="1"/>
    </xf>
    <xf numFmtId="0" fontId="8" fillId="2" borderId="40" xfId="0" applyFont="1" applyFill="1" applyBorder="1" applyAlignment="1">
      <alignment horizontal="left" vertical="center" indent="1"/>
    </xf>
    <xf numFmtId="10" fontId="9" fillId="0" borderId="0" xfId="0" applyNumberFormat="1" applyFont="1">
      <alignment vertical="center"/>
    </xf>
    <xf numFmtId="177" fontId="5" fillId="0" borderId="4" xfId="1" applyNumberFormat="1" applyFont="1" applyBorder="1">
      <alignment vertical="center"/>
    </xf>
    <xf numFmtId="0" fontId="5" fillId="0" borderId="0" xfId="0" applyFont="1" applyBorder="1">
      <alignment vertical="center"/>
    </xf>
    <xf numFmtId="38" fontId="5" fillId="0" borderId="0" xfId="0" applyNumberFormat="1" applyFont="1">
      <alignment vertical="center"/>
    </xf>
    <xf numFmtId="177" fontId="5" fillId="0" borderId="0" xfId="1" applyNumberFormat="1" applyFont="1" applyBorder="1">
      <alignment vertical="center"/>
    </xf>
    <xf numFmtId="3" fontId="9" fillId="0" borderId="0" xfId="0" applyNumberFormat="1" applyFont="1">
      <alignment vertical="center"/>
    </xf>
    <xf numFmtId="10" fontId="10" fillId="6" borderId="0" xfId="0" applyNumberFormat="1" applyFont="1" applyFill="1" applyBorder="1" applyAlignment="1">
      <alignment horizontal="center" vertical="center"/>
    </xf>
    <xf numFmtId="0" fontId="9" fillId="0" borderId="0" xfId="0" applyFont="1" applyBorder="1" applyAlignment="1">
      <alignment horizontal="left" vertical="center"/>
    </xf>
    <xf numFmtId="10" fontId="9" fillId="0" borderId="0" xfId="0" applyNumberFormat="1" applyFont="1" applyBorder="1" applyAlignment="1">
      <alignment horizontal="left" vertical="center"/>
    </xf>
    <xf numFmtId="0" fontId="10" fillId="6" borderId="0" xfId="0" applyFont="1" applyFill="1" applyBorder="1" applyAlignment="1">
      <alignment horizontal="left" vertical="center"/>
    </xf>
    <xf numFmtId="176" fontId="10" fillId="6" borderId="0" xfId="0" applyNumberFormat="1" applyFont="1" applyFill="1" applyBorder="1">
      <alignment vertical="center"/>
    </xf>
    <xf numFmtId="10" fontId="10" fillId="6" borderId="0" xfId="0" applyNumberFormat="1" applyFont="1" applyFill="1" applyBorder="1" applyAlignment="1">
      <alignment horizontal="right" vertical="center" indent="1"/>
    </xf>
    <xf numFmtId="0" fontId="9" fillId="0" borderId="0" xfId="0" applyNumberFormat="1" applyFont="1">
      <alignment vertical="center"/>
    </xf>
    <xf numFmtId="0" fontId="5" fillId="0" borderId="0" xfId="0" applyFont="1" applyAlignment="1">
      <alignment horizontal="center" vertical="center" wrapText="1"/>
    </xf>
    <xf numFmtId="0" fontId="11" fillId="3" borderId="0" xfId="0" applyFont="1" applyFill="1" applyAlignment="1">
      <alignment horizontal="right" vertical="center"/>
    </xf>
    <xf numFmtId="0" fontId="11" fillId="0" borderId="0" xfId="0" applyFont="1" applyAlignment="1">
      <alignment horizontal="center" vertical="center"/>
    </xf>
    <xf numFmtId="10" fontId="5" fillId="0" borderId="0" xfId="0" applyNumberFormat="1" applyFont="1" applyAlignment="1">
      <alignment horizontal="right" vertical="center" indent="1"/>
    </xf>
    <xf numFmtId="0" fontId="12" fillId="0" borderId="0" xfId="0" applyFont="1" applyAlignment="1">
      <alignment vertical="center" wrapText="1"/>
    </xf>
    <xf numFmtId="0" fontId="5" fillId="0" borderId="0" xfId="0" applyFont="1" applyAlignment="1">
      <alignment horizontal="left" vertical="center"/>
    </xf>
    <xf numFmtId="176" fontId="5" fillId="0" borderId="0" xfId="0" applyNumberFormat="1" applyFont="1">
      <alignment vertical="center"/>
    </xf>
    <xf numFmtId="176" fontId="11" fillId="0" borderId="0" xfId="0" applyNumberFormat="1" applyFont="1">
      <alignment vertical="center"/>
    </xf>
    <xf numFmtId="181" fontId="5" fillId="0" borderId="55" xfId="0" applyNumberFormat="1" applyFont="1" applyBorder="1" applyAlignment="1">
      <alignment vertical="center"/>
    </xf>
    <xf numFmtId="0" fontId="5" fillId="0" borderId="0" xfId="0" applyFont="1" applyAlignment="1">
      <alignment vertical="center"/>
    </xf>
    <xf numFmtId="0" fontId="11" fillId="0" borderId="0" xfId="0" applyFont="1">
      <alignment vertical="center"/>
    </xf>
    <xf numFmtId="0" fontId="5" fillId="0" borderId="0" xfId="0" applyNumberFormat="1" applyFont="1">
      <alignment vertical="center"/>
    </xf>
    <xf numFmtId="177" fontId="5" fillId="0" borderId="0" xfId="0" applyNumberFormat="1" applyFont="1">
      <alignment vertical="center"/>
    </xf>
    <xf numFmtId="0" fontId="8" fillId="6" borderId="0" xfId="0" applyFont="1" applyFill="1" applyBorder="1" applyAlignment="1">
      <alignment horizontal="center" vertical="center"/>
    </xf>
    <xf numFmtId="0" fontId="8" fillId="6" borderId="0" xfId="0" applyFont="1" applyFill="1" applyBorder="1" applyAlignment="1">
      <alignment horizontal="center" vertical="center" wrapText="1"/>
    </xf>
    <xf numFmtId="176" fontId="5" fillId="0" borderId="55" xfId="0" applyNumberFormat="1" applyFont="1" applyBorder="1" applyAlignment="1">
      <alignment vertical="center"/>
    </xf>
    <xf numFmtId="10" fontId="5" fillId="0" borderId="0" xfId="0" applyNumberFormat="1" applyFont="1" applyBorder="1" applyAlignment="1">
      <alignment horizontal="right" vertical="center" indent="1"/>
    </xf>
    <xf numFmtId="0" fontId="8" fillId="6" borderId="0" xfId="0" applyFont="1" applyFill="1" applyBorder="1" applyAlignment="1">
      <alignment horizontal="left" vertical="center"/>
    </xf>
    <xf numFmtId="176" fontId="8" fillId="6" borderId="0" xfId="0" applyNumberFormat="1" applyFont="1" applyFill="1" applyBorder="1">
      <alignment vertical="center"/>
    </xf>
    <xf numFmtId="10" fontId="8" fillId="6" borderId="0" xfId="0" applyNumberFormat="1" applyFont="1" applyFill="1" applyBorder="1" applyAlignment="1">
      <alignment horizontal="right" vertical="center" indent="1"/>
    </xf>
    <xf numFmtId="0" fontId="11" fillId="3" borderId="0" xfId="0" applyFont="1" applyFill="1" applyAlignment="1">
      <alignment horizontal="center" vertical="center"/>
    </xf>
    <xf numFmtId="0" fontId="11" fillId="3" borderId="0" xfId="0" applyFont="1" applyFill="1">
      <alignment vertical="center"/>
    </xf>
    <xf numFmtId="0" fontId="11" fillId="0" borderId="0" xfId="0" applyFont="1" applyAlignment="1">
      <alignment vertical="center"/>
    </xf>
    <xf numFmtId="0" fontId="11" fillId="3" borderId="0" xfId="0" applyFont="1" applyFill="1" applyAlignment="1">
      <alignment horizontal="left" vertical="center"/>
    </xf>
    <xf numFmtId="0" fontId="5" fillId="0" borderId="7" xfId="0" applyFont="1" applyBorder="1">
      <alignment vertical="center"/>
    </xf>
    <xf numFmtId="0" fontId="8" fillId="0" borderId="0" xfId="0" applyFont="1" applyFill="1" applyBorder="1" applyAlignment="1">
      <alignment horizontal="left" vertical="center" indent="1"/>
    </xf>
    <xf numFmtId="0" fontId="5" fillId="0" borderId="0" xfId="0" applyFont="1" applyFill="1" applyBorder="1">
      <alignment vertical="center"/>
    </xf>
    <xf numFmtId="0" fontId="5" fillId="0" borderId="55" xfId="0" applyFont="1" applyBorder="1">
      <alignment vertical="center"/>
    </xf>
    <xf numFmtId="176" fontId="17" fillId="0" borderId="0" xfId="0" applyNumberFormat="1" applyFont="1">
      <alignment vertical="center"/>
    </xf>
    <xf numFmtId="0" fontId="11" fillId="3" borderId="0" xfId="0" applyFont="1" applyFill="1" applyAlignment="1">
      <alignment horizontal="center" vertical="center" wrapText="1"/>
    </xf>
    <xf numFmtId="176" fontId="5" fillId="0" borderId="13" xfId="0" applyNumberFormat="1" applyFont="1" applyBorder="1">
      <alignment vertical="center"/>
    </xf>
    <xf numFmtId="177" fontId="5" fillId="0" borderId="14" xfId="0" applyNumberFormat="1" applyFont="1" applyBorder="1" applyAlignment="1">
      <alignment horizontal="right" vertical="center"/>
    </xf>
    <xf numFmtId="176" fontId="5" fillId="0" borderId="15" xfId="0" applyNumberFormat="1" applyFont="1" applyBorder="1">
      <alignment vertical="center"/>
    </xf>
    <xf numFmtId="176" fontId="5" fillId="0" borderId="55" xfId="0" applyNumberFormat="1" applyFont="1" applyBorder="1">
      <alignment vertical="center"/>
    </xf>
    <xf numFmtId="179" fontId="5" fillId="0" borderId="0" xfId="0" applyNumberFormat="1" applyFont="1">
      <alignment vertical="center"/>
    </xf>
    <xf numFmtId="176" fontId="5" fillId="0" borderId="36" xfId="0" applyNumberFormat="1" applyFont="1" applyBorder="1">
      <alignment vertical="center"/>
    </xf>
    <xf numFmtId="177" fontId="5" fillId="0" borderId="18" xfId="0" applyNumberFormat="1" applyFont="1" applyBorder="1" applyAlignment="1">
      <alignment horizontal="right" vertical="center"/>
    </xf>
    <xf numFmtId="176" fontId="5" fillId="0" borderId="17" xfId="0" applyNumberFormat="1" applyFont="1" applyBorder="1">
      <alignment vertical="center"/>
    </xf>
    <xf numFmtId="176" fontId="5" fillId="0" borderId="38" xfId="0" applyNumberFormat="1" applyFont="1" applyBorder="1">
      <alignment vertical="center"/>
    </xf>
    <xf numFmtId="176" fontId="5" fillId="0" borderId="37" xfId="0" applyNumberFormat="1" applyFont="1" applyBorder="1">
      <alignment vertical="center"/>
    </xf>
    <xf numFmtId="177" fontId="5" fillId="0" borderId="35" xfId="0" applyNumberFormat="1" applyFont="1" applyBorder="1" applyAlignment="1">
      <alignment horizontal="right" vertical="center"/>
    </xf>
    <xf numFmtId="176" fontId="5" fillId="0" borderId="19" xfId="0" applyNumberFormat="1" applyFont="1" applyBorder="1">
      <alignment vertical="center"/>
    </xf>
    <xf numFmtId="177" fontId="5" fillId="0" borderId="60" xfId="0" applyNumberFormat="1" applyFont="1" applyBorder="1" applyAlignment="1">
      <alignment horizontal="right" vertical="center"/>
    </xf>
    <xf numFmtId="177" fontId="5" fillId="0" borderId="16" xfId="0" applyNumberFormat="1" applyFont="1" applyBorder="1" applyAlignment="1">
      <alignment horizontal="right" vertical="center"/>
    </xf>
    <xf numFmtId="177" fontId="5" fillId="0" borderId="20" xfId="0" applyNumberFormat="1" applyFont="1" applyBorder="1" applyAlignment="1">
      <alignment horizontal="right" vertical="center"/>
    </xf>
    <xf numFmtId="0" fontId="5" fillId="0" borderId="42" xfId="0" applyFont="1" applyBorder="1">
      <alignment vertical="center"/>
    </xf>
    <xf numFmtId="0" fontId="8" fillId="6" borderId="0" xfId="0" applyFont="1" applyFill="1" applyAlignment="1">
      <alignment horizontal="left" vertical="center"/>
    </xf>
    <xf numFmtId="38" fontId="8" fillId="6" borderId="0" xfId="0" applyNumberFormat="1" applyFont="1" applyFill="1">
      <alignment vertical="center"/>
    </xf>
    <xf numFmtId="179" fontId="5" fillId="0" borderId="0" xfId="0" applyNumberFormat="1" applyFont="1" applyBorder="1">
      <alignment vertical="center"/>
    </xf>
    <xf numFmtId="177" fontId="5" fillId="0" borderId="34" xfId="0" applyNumberFormat="1" applyFont="1" applyBorder="1" applyAlignment="1">
      <alignment horizontal="right" vertical="center"/>
    </xf>
    <xf numFmtId="0" fontId="11" fillId="3" borderId="0" xfId="0" applyFont="1" applyFill="1" applyBorder="1">
      <alignment vertical="center"/>
    </xf>
    <xf numFmtId="0" fontId="11" fillId="3" borderId="0" xfId="0" applyFont="1" applyFill="1" applyBorder="1" applyAlignment="1">
      <alignment horizontal="center" vertical="center"/>
    </xf>
    <xf numFmtId="38" fontId="8" fillId="6" borderId="0" xfId="0" applyNumberFormat="1" applyFont="1" applyFill="1" applyBorder="1">
      <alignment vertical="center"/>
    </xf>
    <xf numFmtId="38" fontId="5" fillId="0" borderId="0" xfId="0" applyNumberFormat="1" applyFont="1" applyBorder="1">
      <alignment vertical="center"/>
    </xf>
    <xf numFmtId="0" fontId="11" fillId="0" borderId="0" xfId="0" applyFont="1" applyAlignment="1">
      <alignment vertical="center" wrapText="1"/>
    </xf>
    <xf numFmtId="0" fontId="15" fillId="0" borderId="23" xfId="0" applyFont="1" applyBorder="1" applyAlignment="1">
      <alignment vertical="center" wrapText="1"/>
    </xf>
    <xf numFmtId="176" fontId="8" fillId="0" borderId="15" xfId="0" applyNumberFormat="1" applyFont="1" applyBorder="1">
      <alignment vertical="center"/>
    </xf>
    <xf numFmtId="177" fontId="8" fillId="0" borderId="16" xfId="0" applyNumberFormat="1" applyFont="1" applyBorder="1" applyAlignment="1">
      <alignment horizontal="right" vertical="center"/>
    </xf>
    <xf numFmtId="0" fontId="16" fillId="0" borderId="25" xfId="0" applyFont="1" applyBorder="1" applyAlignment="1">
      <alignment vertical="center" shrinkToFit="1"/>
    </xf>
    <xf numFmtId="0" fontId="16" fillId="0" borderId="25" xfId="0" applyFont="1" applyBorder="1">
      <alignment vertical="center"/>
    </xf>
    <xf numFmtId="0" fontId="15" fillId="4" borderId="5" xfId="0" applyFont="1" applyFill="1" applyBorder="1" applyAlignment="1">
      <alignment horizontal="left" vertical="center"/>
    </xf>
    <xf numFmtId="176" fontId="8" fillId="4" borderId="57" xfId="0" applyNumberFormat="1" applyFont="1" applyFill="1" applyBorder="1">
      <alignment vertical="center"/>
    </xf>
    <xf numFmtId="177" fontId="8" fillId="4" borderId="22" xfId="0" applyNumberFormat="1" applyFont="1" applyFill="1" applyBorder="1" applyAlignment="1">
      <alignment horizontal="right" vertical="center"/>
    </xf>
    <xf numFmtId="182" fontId="8" fillId="4" borderId="62" xfId="0" applyNumberFormat="1" applyFont="1" applyFill="1" applyBorder="1" applyAlignment="1">
      <alignment horizontal="right" vertical="center"/>
    </xf>
    <xf numFmtId="0" fontId="8" fillId="0" borderId="0" xfId="0" applyFont="1" applyBorder="1" applyAlignment="1">
      <alignment horizontal="left" vertical="center"/>
    </xf>
    <xf numFmtId="176" fontId="8" fillId="0" borderId="0" xfId="0" applyNumberFormat="1" applyFont="1" applyBorder="1">
      <alignment vertical="center"/>
    </xf>
    <xf numFmtId="177" fontId="8" fillId="0" borderId="0" xfId="0" applyNumberFormat="1" applyFont="1" applyBorder="1" applyAlignment="1">
      <alignment horizontal="right" vertical="center"/>
    </xf>
    <xf numFmtId="182" fontId="8" fillId="0" borderId="0" xfId="0" applyNumberFormat="1" applyFont="1" applyBorder="1" applyAlignment="1">
      <alignment horizontal="right" vertical="center"/>
    </xf>
    <xf numFmtId="0" fontId="15" fillId="4" borderId="5" xfId="0" applyFont="1" applyFill="1" applyBorder="1" applyAlignment="1">
      <alignment horizontal="center" vertical="center"/>
    </xf>
    <xf numFmtId="0" fontId="15" fillId="0" borderId="23" xfId="0" applyFont="1" applyBorder="1">
      <alignment vertical="center"/>
    </xf>
    <xf numFmtId="0" fontId="15" fillId="4" borderId="5" xfId="0" applyFont="1" applyFill="1" applyBorder="1">
      <alignment vertical="center"/>
    </xf>
    <xf numFmtId="0" fontId="13" fillId="0" borderId="10" xfId="0" applyFont="1" applyBorder="1" applyAlignment="1">
      <alignment horizontal="left" vertical="center" wrapText="1" indent="1"/>
    </xf>
    <xf numFmtId="0" fontId="13" fillId="0" borderId="11" xfId="0" applyFont="1" applyBorder="1" applyAlignment="1">
      <alignment horizontal="left" vertical="center" indent="1"/>
    </xf>
    <xf numFmtId="176" fontId="5" fillId="0" borderId="39" xfId="0" applyNumberFormat="1" applyFont="1" applyBorder="1">
      <alignment vertical="center"/>
    </xf>
    <xf numFmtId="0" fontId="13" fillId="0" borderId="12" xfId="0" applyFont="1" applyBorder="1" applyAlignment="1">
      <alignment horizontal="left" vertical="center" indent="1"/>
    </xf>
    <xf numFmtId="0" fontId="15" fillId="0" borderId="10" xfId="0" applyFont="1" applyBorder="1" applyAlignment="1">
      <alignment vertical="center" wrapText="1"/>
    </xf>
    <xf numFmtId="176" fontId="8" fillId="0" borderId="56" xfId="0" applyNumberFormat="1" applyFont="1" applyBorder="1">
      <alignment vertical="center"/>
    </xf>
    <xf numFmtId="177" fontId="8" fillId="0" borderId="14" xfId="0" applyNumberFormat="1" applyFont="1" applyBorder="1" applyAlignment="1">
      <alignment horizontal="right" vertical="center"/>
    </xf>
    <xf numFmtId="0" fontId="16" fillId="0" borderId="11" xfId="0" applyFont="1" applyBorder="1" applyAlignment="1">
      <alignment vertical="center" shrinkToFit="1"/>
    </xf>
    <xf numFmtId="176" fontId="5" fillId="0" borderId="50" xfId="0" applyNumberFormat="1" applyFont="1" applyBorder="1">
      <alignment vertical="center"/>
    </xf>
    <xf numFmtId="0" fontId="16" fillId="0" borderId="45" xfId="0" applyFont="1" applyBorder="1">
      <alignment vertical="center"/>
    </xf>
    <xf numFmtId="176" fontId="5" fillId="0" borderId="53" xfId="0" applyNumberFormat="1" applyFont="1" applyBorder="1">
      <alignment vertical="center"/>
    </xf>
    <xf numFmtId="0" fontId="8" fillId="4" borderId="5" xfId="0" applyFont="1" applyFill="1" applyBorder="1" applyAlignment="1">
      <alignment horizontal="left" vertical="center"/>
    </xf>
    <xf numFmtId="182" fontId="8" fillId="4" borderId="21" xfId="0" applyNumberFormat="1" applyFont="1" applyFill="1" applyBorder="1" applyAlignment="1">
      <alignment horizontal="right" vertical="center"/>
    </xf>
    <xf numFmtId="177" fontId="8" fillId="4" borderId="27" xfId="0" applyNumberFormat="1" applyFont="1" applyFill="1" applyBorder="1" applyAlignment="1">
      <alignment horizontal="right" vertical="center"/>
    </xf>
    <xf numFmtId="0" fontId="15" fillId="0" borderId="10" xfId="0" applyFont="1" applyBorder="1">
      <alignment vertical="center"/>
    </xf>
    <xf numFmtId="0" fontId="16" fillId="0" borderId="11" xfId="0" applyFont="1" applyBorder="1">
      <alignment vertical="center"/>
    </xf>
    <xf numFmtId="176" fontId="5" fillId="0" borderId="52" xfId="0" applyNumberFormat="1" applyFont="1" applyBorder="1">
      <alignment vertical="center"/>
    </xf>
    <xf numFmtId="176" fontId="5" fillId="0" borderId="58" xfId="0" applyNumberFormat="1" applyFont="1" applyBorder="1">
      <alignment vertical="center"/>
    </xf>
    <xf numFmtId="0" fontId="5" fillId="0" borderId="3" xfId="0" applyFont="1" applyBorder="1">
      <alignment vertical="center"/>
    </xf>
    <xf numFmtId="0" fontId="16" fillId="0" borderId="24" xfId="0" applyFont="1" applyBorder="1">
      <alignment vertical="center"/>
    </xf>
    <xf numFmtId="176" fontId="5" fillId="0" borderId="59" xfId="0" applyNumberFormat="1" applyFont="1" applyBorder="1">
      <alignment vertical="center"/>
    </xf>
    <xf numFmtId="177" fontId="5" fillId="0" borderId="63" xfId="0" applyNumberFormat="1" applyFont="1" applyBorder="1" applyAlignment="1">
      <alignment horizontal="right" vertical="center"/>
    </xf>
    <xf numFmtId="176" fontId="5" fillId="0" borderId="54" xfId="0" applyNumberFormat="1" applyFont="1" applyBorder="1">
      <alignment vertical="center"/>
    </xf>
    <xf numFmtId="176" fontId="5" fillId="0" borderId="51" xfId="0" applyNumberFormat="1" applyFont="1" applyBorder="1">
      <alignment vertical="center"/>
    </xf>
    <xf numFmtId="0" fontId="5" fillId="0" borderId="61" xfId="0" applyFont="1" applyBorder="1">
      <alignment vertical="center"/>
    </xf>
    <xf numFmtId="0" fontId="15" fillId="4" borderId="8" xfId="0" applyFont="1" applyFill="1" applyBorder="1" applyAlignment="1">
      <alignment horizontal="center" vertical="center"/>
    </xf>
    <xf numFmtId="0" fontId="16" fillId="0" borderId="10" xfId="0" applyFont="1" applyBorder="1" applyAlignment="1">
      <alignment horizontal="left" vertical="center" wrapText="1" indent="1"/>
    </xf>
    <xf numFmtId="0" fontId="16" fillId="0" borderId="11" xfId="0" applyFont="1" applyBorder="1" applyAlignment="1">
      <alignment horizontal="left" vertical="center" indent="1"/>
    </xf>
    <xf numFmtId="0" fontId="16" fillId="0" borderId="12" xfId="0" applyFont="1" applyBorder="1" applyAlignment="1">
      <alignment horizontal="left" vertical="center" indent="1"/>
    </xf>
    <xf numFmtId="0" fontId="15" fillId="4" borderId="26" xfId="0" applyFont="1" applyFill="1" applyBorder="1" applyAlignment="1">
      <alignment horizontal="center" vertical="center"/>
    </xf>
    <xf numFmtId="0" fontId="8" fillId="0" borderId="0" xfId="0" applyFont="1" applyFill="1" applyBorder="1" applyAlignment="1">
      <alignment horizontal="left" vertical="center"/>
    </xf>
    <xf numFmtId="38" fontId="8" fillId="0" borderId="0" xfId="0" applyNumberFormat="1" applyFont="1" applyFill="1" applyBorder="1">
      <alignment vertical="center"/>
    </xf>
    <xf numFmtId="177" fontId="8" fillId="0" borderId="0" xfId="1" applyNumberFormat="1" applyFont="1" applyFill="1" applyBorder="1">
      <alignment vertical="center"/>
    </xf>
    <xf numFmtId="0" fontId="5" fillId="0" borderId="0" xfId="0" applyFont="1" applyFill="1">
      <alignment vertical="center"/>
    </xf>
    <xf numFmtId="0" fontId="13" fillId="0" borderId="0" xfId="0" applyFont="1" applyBorder="1" applyAlignment="1">
      <alignment horizontal="left" vertical="center"/>
    </xf>
    <xf numFmtId="38" fontId="5" fillId="0" borderId="4" xfId="0" applyNumberFormat="1" applyFont="1" applyBorder="1">
      <alignment vertical="center"/>
    </xf>
    <xf numFmtId="0" fontId="5" fillId="0" borderId="0" xfId="0" applyFont="1" applyAlignment="1">
      <alignment horizontal="center" vertical="center"/>
    </xf>
    <xf numFmtId="0" fontId="8" fillId="0" borderId="0" xfId="0" applyFont="1" applyFill="1">
      <alignment vertical="center"/>
    </xf>
    <xf numFmtId="177" fontId="5" fillId="0" borderId="0" xfId="1" applyNumberFormat="1" applyFont="1">
      <alignment vertical="center"/>
    </xf>
    <xf numFmtId="177" fontId="5" fillId="8" borderId="0" xfId="1" applyNumberFormat="1" applyFont="1" applyFill="1">
      <alignment vertical="center"/>
    </xf>
    <xf numFmtId="38" fontId="5" fillId="0" borderId="0" xfId="7" applyFont="1">
      <alignment vertical="center"/>
    </xf>
    <xf numFmtId="177" fontId="8" fillId="8" borderId="0" xfId="1" applyNumberFormat="1" applyFont="1" applyFill="1">
      <alignment vertical="center"/>
    </xf>
    <xf numFmtId="0" fontId="5" fillId="8" borderId="0" xfId="0" applyFont="1" applyFill="1">
      <alignment vertical="center"/>
    </xf>
    <xf numFmtId="10" fontId="5" fillId="0" borderId="0" xfId="0" applyNumberFormat="1" applyFont="1">
      <alignment vertical="center"/>
    </xf>
    <xf numFmtId="0" fontId="5" fillId="7" borderId="0" xfId="0" applyFont="1" applyFill="1">
      <alignment vertical="center"/>
    </xf>
    <xf numFmtId="0" fontId="8" fillId="0" borderId="0" xfId="0" applyFont="1" applyAlignment="1">
      <alignment horizontal="center" vertical="center" wrapText="1"/>
    </xf>
    <xf numFmtId="0" fontId="8" fillId="8" borderId="0" xfId="0" applyFont="1" applyFill="1" applyBorder="1">
      <alignment vertical="center"/>
    </xf>
    <xf numFmtId="176" fontId="8" fillId="8" borderId="5" xfId="0" applyNumberFormat="1" applyFont="1" applyFill="1" applyBorder="1">
      <alignment vertical="center"/>
    </xf>
    <xf numFmtId="177" fontId="8" fillId="8" borderId="5" xfId="0" applyNumberFormat="1" applyFont="1" applyFill="1" applyBorder="1">
      <alignment vertical="center"/>
    </xf>
    <xf numFmtId="177" fontId="8" fillId="8" borderId="0" xfId="0" applyNumberFormat="1" applyFont="1" applyFill="1" applyBorder="1">
      <alignment vertical="center"/>
    </xf>
    <xf numFmtId="176" fontId="8" fillId="8" borderId="5" xfId="7" applyNumberFormat="1" applyFont="1" applyFill="1" applyBorder="1">
      <alignment vertical="center"/>
    </xf>
    <xf numFmtId="177" fontId="8" fillId="0" borderId="5" xfId="1" applyNumberFormat="1" applyFont="1" applyBorder="1">
      <alignment vertical="center"/>
    </xf>
    <xf numFmtId="0" fontId="5" fillId="0" borderId="0" xfId="0" applyFont="1" applyAlignment="1">
      <alignment horizontal="right" vertical="center"/>
    </xf>
    <xf numFmtId="0" fontId="13" fillId="8" borderId="42" xfId="0" applyFont="1" applyFill="1" applyBorder="1" applyAlignment="1">
      <alignment vertical="center"/>
    </xf>
    <xf numFmtId="0" fontId="12" fillId="0" borderId="6" xfId="0" applyFont="1" applyBorder="1" applyAlignment="1">
      <alignment vertical="center" wrapText="1"/>
    </xf>
    <xf numFmtId="182" fontId="5" fillId="0" borderId="55" xfId="0" applyNumberFormat="1" applyFont="1" applyBorder="1">
      <alignment vertical="center"/>
    </xf>
    <xf numFmtId="0" fontId="12" fillId="0" borderId="11" xfId="0" applyFont="1" applyBorder="1" applyAlignment="1">
      <alignment vertical="center" wrapText="1"/>
    </xf>
    <xf numFmtId="0" fontId="13" fillId="8" borderId="44" xfId="0" applyFont="1" applyFill="1" applyBorder="1" applyAlignment="1">
      <alignment vertical="center"/>
    </xf>
    <xf numFmtId="0" fontId="12" fillId="0" borderId="29" xfId="0" applyFont="1" applyBorder="1" applyAlignment="1">
      <alignment vertical="center" wrapText="1"/>
    </xf>
    <xf numFmtId="176" fontId="8" fillId="0" borderId="5" xfId="7" applyNumberFormat="1" applyFont="1" applyBorder="1">
      <alignment vertical="center"/>
    </xf>
    <xf numFmtId="177" fontId="8" fillId="0" borderId="0" xfId="1" applyNumberFormat="1" applyFont="1" applyBorder="1">
      <alignment vertical="center"/>
    </xf>
    <xf numFmtId="177" fontId="8" fillId="8" borderId="0" xfId="1" applyNumberFormat="1" applyFont="1" applyFill="1" applyBorder="1">
      <alignment vertical="center"/>
    </xf>
    <xf numFmtId="176" fontId="8" fillId="0" borderId="5" xfId="0" applyNumberFormat="1" applyFont="1" applyFill="1" applyBorder="1">
      <alignment vertical="center"/>
    </xf>
    <xf numFmtId="177" fontId="8" fillId="0" borderId="5" xfId="1" applyNumberFormat="1" applyFont="1" applyFill="1" applyBorder="1">
      <alignment vertical="center"/>
    </xf>
    <xf numFmtId="176" fontId="8" fillId="0" borderId="5" xfId="7" applyNumberFormat="1" applyFont="1" applyFill="1" applyBorder="1">
      <alignment vertical="center"/>
    </xf>
    <xf numFmtId="176" fontId="8" fillId="0" borderId="5" xfId="0" applyNumberFormat="1" applyFont="1" applyBorder="1">
      <alignment vertical="center"/>
    </xf>
    <xf numFmtId="0" fontId="5" fillId="0" borderId="0" xfId="0" applyFont="1" applyBorder="1" applyAlignment="1">
      <alignment horizontal="left" vertical="center" wrapText="1"/>
    </xf>
    <xf numFmtId="0" fontId="5" fillId="5" borderId="0" xfId="0" applyFont="1" applyFill="1" applyBorder="1" applyAlignment="1">
      <alignment horizontal="left" vertical="center" wrapText="1"/>
    </xf>
    <xf numFmtId="177" fontId="5" fillId="0" borderId="0" xfId="0" applyNumberFormat="1" applyFont="1" applyAlignment="1">
      <alignment horizontal="right" vertical="center" indent="1"/>
    </xf>
    <xf numFmtId="176" fontId="5" fillId="0" borderId="0" xfId="0" applyNumberFormat="1" applyFont="1" applyFill="1">
      <alignment vertical="center"/>
    </xf>
    <xf numFmtId="177" fontId="5" fillId="0" borderId="0" xfId="1" applyNumberFormat="1" applyFont="1" applyFill="1">
      <alignment vertical="center"/>
    </xf>
    <xf numFmtId="176" fontId="5" fillId="7" borderId="0" xfId="0" applyNumberFormat="1" applyFont="1" applyFill="1">
      <alignment vertical="center"/>
    </xf>
    <xf numFmtId="177" fontId="5" fillId="7" borderId="0" xfId="1" applyNumberFormat="1" applyFont="1" applyFill="1">
      <alignment vertical="center"/>
    </xf>
    <xf numFmtId="176" fontId="5" fillId="0" borderId="0" xfId="0" applyNumberFormat="1" applyFont="1" applyFill="1" applyBorder="1">
      <alignment vertical="center"/>
    </xf>
    <xf numFmtId="176" fontId="8" fillId="0" borderId="0" xfId="0" applyNumberFormat="1" applyFont="1" applyFill="1" applyBorder="1" applyAlignment="1">
      <alignment horizontal="right" vertical="center"/>
    </xf>
    <xf numFmtId="177" fontId="8" fillId="0" borderId="0" xfId="1" applyNumberFormat="1" applyFont="1" applyFill="1" applyBorder="1" applyAlignment="1">
      <alignment horizontal="right" vertical="center"/>
    </xf>
    <xf numFmtId="0" fontId="5" fillId="0" borderId="0" xfId="0" applyFont="1" applyFill="1" applyAlignment="1">
      <alignment horizontal="left" vertical="center"/>
    </xf>
    <xf numFmtId="38" fontId="5" fillId="0" borderId="0" xfId="0" applyNumberFormat="1" applyFont="1" applyFill="1">
      <alignment vertical="center"/>
    </xf>
    <xf numFmtId="0" fontId="5" fillId="0" borderId="0" xfId="0" applyFont="1" applyBorder="1" applyAlignment="1">
      <alignment horizontal="center" vertical="center"/>
    </xf>
    <xf numFmtId="176" fontId="5" fillId="0" borderId="0" xfId="0" applyNumberFormat="1" applyFont="1" applyFill="1" applyBorder="1" applyAlignment="1">
      <alignment horizontal="right" vertical="center"/>
    </xf>
    <xf numFmtId="177" fontId="5" fillId="0" borderId="0" xfId="0" applyNumberFormat="1" applyFont="1" applyFill="1" applyBorder="1" applyAlignment="1">
      <alignment horizontal="right" vertical="center"/>
    </xf>
    <xf numFmtId="0" fontId="5" fillId="0" borderId="0" xfId="0" applyFont="1" applyBorder="1" applyAlignment="1">
      <alignment horizontal="right" vertical="center" wrapText="1"/>
    </xf>
    <xf numFmtId="0" fontId="5" fillId="5" borderId="0" xfId="0" applyFont="1" applyFill="1" applyBorder="1" applyAlignment="1">
      <alignment horizontal="right" vertical="center" wrapText="1"/>
    </xf>
    <xf numFmtId="0" fontId="5" fillId="0" borderId="0" xfId="0" applyFont="1" applyBorder="1" applyAlignment="1">
      <alignment horizontal="right" vertical="center"/>
    </xf>
    <xf numFmtId="0" fontId="8" fillId="6" borderId="30" xfId="0" applyFont="1" applyFill="1" applyBorder="1" applyAlignment="1">
      <alignment horizontal="center" vertical="center" wrapText="1"/>
    </xf>
    <xf numFmtId="0" fontId="8" fillId="6" borderId="31" xfId="0" applyFont="1" applyFill="1" applyBorder="1" applyAlignment="1">
      <alignment horizontal="left" vertical="center"/>
    </xf>
    <xf numFmtId="176" fontId="8" fillId="6" borderId="31" xfId="0" applyNumberFormat="1" applyFont="1" applyFill="1" applyBorder="1">
      <alignment vertical="center"/>
    </xf>
    <xf numFmtId="10" fontId="8" fillId="6" borderId="31" xfId="0" applyNumberFormat="1" applyFont="1" applyFill="1" applyBorder="1" applyAlignment="1">
      <alignment horizontal="right" vertical="center" indent="1"/>
    </xf>
    <xf numFmtId="0" fontId="18" fillId="0" borderId="0" xfId="0" applyFont="1">
      <alignment vertical="center"/>
    </xf>
    <xf numFmtId="38" fontId="5" fillId="0" borderId="0" xfId="0" applyNumberFormat="1" applyFont="1" applyFill="1" applyBorder="1">
      <alignment vertical="center"/>
    </xf>
    <xf numFmtId="0" fontId="5" fillId="0" borderId="32" xfId="0" applyFont="1" applyBorder="1">
      <alignment vertical="center"/>
    </xf>
    <xf numFmtId="0" fontId="5" fillId="0" borderId="32" xfId="0" applyFont="1" applyBorder="1" applyAlignment="1">
      <alignment horizontal="left" vertical="center"/>
    </xf>
    <xf numFmtId="38" fontId="5" fillId="0" borderId="32" xfId="0" applyNumberFormat="1" applyFont="1" applyBorder="1">
      <alignment vertical="center"/>
    </xf>
    <xf numFmtId="0" fontId="5" fillId="0" borderId="33" xfId="0" applyFont="1" applyBorder="1">
      <alignment vertical="center"/>
    </xf>
    <xf numFmtId="0" fontId="5" fillId="0" borderId="33" xfId="0" applyFont="1" applyBorder="1" applyAlignment="1">
      <alignment horizontal="left" vertical="center"/>
    </xf>
    <xf numFmtId="38" fontId="5" fillId="0" borderId="33" xfId="0" applyNumberFormat="1" applyFont="1" applyBorder="1">
      <alignment vertical="center"/>
    </xf>
    <xf numFmtId="0" fontId="5" fillId="0" borderId="0" xfId="0" applyFont="1" applyFill="1" applyBorder="1" applyAlignment="1">
      <alignment horizontal="left" vertical="center"/>
    </xf>
    <xf numFmtId="10" fontId="5" fillId="0" borderId="0" xfId="0" applyNumberFormat="1" applyFont="1" applyBorder="1">
      <alignment vertical="center"/>
    </xf>
    <xf numFmtId="10" fontId="8" fillId="6" borderId="0" xfId="0" applyNumberFormat="1" applyFont="1" applyFill="1" applyBorder="1">
      <alignment vertical="center"/>
    </xf>
    <xf numFmtId="176" fontId="8" fillId="0" borderId="15" xfId="0" applyNumberFormat="1" applyFont="1" applyBorder="1" applyAlignment="1">
      <alignment vertical="center" shrinkToFit="1"/>
    </xf>
    <xf numFmtId="177" fontId="8" fillId="0" borderId="14" xfId="0" applyNumberFormat="1" applyFont="1" applyBorder="1" applyAlignment="1">
      <alignment horizontal="right" vertical="center" shrinkToFit="1"/>
    </xf>
    <xf numFmtId="177" fontId="8" fillId="0" borderId="16" xfId="0" applyNumberFormat="1" applyFont="1" applyBorder="1" applyAlignment="1">
      <alignment horizontal="right" vertical="center" shrinkToFit="1"/>
    </xf>
    <xf numFmtId="176" fontId="5" fillId="0" borderId="17" xfId="0" applyNumberFormat="1" applyFont="1" applyBorder="1" applyAlignment="1">
      <alignment vertical="center" shrinkToFit="1"/>
    </xf>
    <xf numFmtId="177" fontId="5" fillId="0" borderId="18" xfId="0" applyNumberFormat="1" applyFont="1" applyBorder="1" applyAlignment="1">
      <alignment horizontal="right" vertical="center" shrinkToFit="1"/>
    </xf>
    <xf numFmtId="177" fontId="5" fillId="0" borderId="60" xfId="0" applyNumberFormat="1" applyFont="1" applyBorder="1" applyAlignment="1">
      <alignment horizontal="right" vertical="center" shrinkToFit="1"/>
    </xf>
    <xf numFmtId="176" fontId="5" fillId="0" borderId="19" xfId="0" applyNumberFormat="1" applyFont="1" applyBorder="1" applyAlignment="1">
      <alignment vertical="center" shrinkToFit="1"/>
    </xf>
    <xf numFmtId="177" fontId="5" fillId="0" borderId="34" xfId="0" applyNumberFormat="1" applyFont="1" applyBorder="1" applyAlignment="1">
      <alignment horizontal="right" vertical="center" shrinkToFit="1"/>
    </xf>
    <xf numFmtId="177" fontId="5" fillId="0" borderId="20" xfId="0" applyNumberFormat="1" applyFont="1" applyBorder="1" applyAlignment="1">
      <alignment horizontal="right" vertical="center" shrinkToFit="1"/>
    </xf>
    <xf numFmtId="176" fontId="8" fillId="4" borderId="57" xfId="0" applyNumberFormat="1" applyFont="1" applyFill="1" applyBorder="1" applyAlignment="1">
      <alignment vertical="center" shrinkToFit="1"/>
    </xf>
    <xf numFmtId="177" fontId="8" fillId="4" borderId="22" xfId="0" applyNumberFormat="1" applyFont="1" applyFill="1" applyBorder="1" applyAlignment="1">
      <alignment horizontal="right" vertical="center" shrinkToFit="1"/>
    </xf>
    <xf numFmtId="182" fontId="8" fillId="4" borderId="62" xfId="0" applyNumberFormat="1" applyFont="1" applyFill="1" applyBorder="1" applyAlignment="1">
      <alignment horizontal="right" vertical="center" shrinkToFit="1"/>
    </xf>
    <xf numFmtId="176" fontId="8" fillId="0" borderId="0" xfId="0" applyNumberFormat="1" applyFont="1" applyBorder="1" applyAlignment="1">
      <alignment vertical="center" shrinkToFit="1"/>
    </xf>
    <xf numFmtId="177" fontId="8" fillId="0" borderId="0" xfId="0" applyNumberFormat="1" applyFont="1" applyBorder="1" applyAlignment="1">
      <alignment horizontal="right" vertical="center" shrinkToFit="1"/>
    </xf>
    <xf numFmtId="182" fontId="8" fillId="0" borderId="0" xfId="0" applyNumberFormat="1" applyFont="1" applyBorder="1" applyAlignment="1">
      <alignment horizontal="right" vertical="center" shrinkToFit="1"/>
    </xf>
    <xf numFmtId="176" fontId="5" fillId="4" borderId="26" xfId="0" applyNumberFormat="1" applyFont="1" applyFill="1" applyBorder="1" applyAlignment="1">
      <alignment vertical="center" shrinkToFit="1"/>
    </xf>
    <xf numFmtId="176" fontId="5" fillId="4" borderId="28" xfId="0" applyNumberFormat="1" applyFont="1" applyFill="1" applyBorder="1" applyAlignment="1">
      <alignment vertical="center" shrinkToFit="1"/>
    </xf>
    <xf numFmtId="176" fontId="5" fillId="4" borderId="27" xfId="0" applyNumberFormat="1" applyFont="1" applyFill="1" applyBorder="1" applyAlignment="1">
      <alignment vertical="center" shrinkToFit="1"/>
    </xf>
    <xf numFmtId="176" fontId="5" fillId="0" borderId="15" xfId="0" applyNumberFormat="1" applyFont="1" applyBorder="1" applyAlignment="1">
      <alignment vertical="center" shrinkToFit="1"/>
    </xf>
    <xf numFmtId="177" fontId="5" fillId="0" borderId="14" xfId="0" applyNumberFormat="1" applyFont="1" applyBorder="1" applyAlignment="1">
      <alignment horizontal="right" vertical="center" shrinkToFit="1"/>
    </xf>
    <xf numFmtId="177" fontId="5" fillId="0" borderId="35" xfId="0" applyNumberFormat="1" applyFont="1" applyBorder="1" applyAlignment="1">
      <alignment horizontal="right" vertical="center" shrinkToFit="1"/>
    </xf>
    <xf numFmtId="0" fontId="5" fillId="0" borderId="0" xfId="0" applyFont="1" applyAlignment="1">
      <alignment vertical="center" shrinkToFit="1"/>
    </xf>
    <xf numFmtId="0" fontId="5" fillId="0" borderId="0" xfId="0" applyFont="1" applyBorder="1" applyAlignment="1">
      <alignment vertical="center" shrinkToFit="1"/>
    </xf>
    <xf numFmtId="0" fontId="5" fillId="0" borderId="10" xfId="0" applyFont="1" applyBorder="1" applyAlignment="1">
      <alignment vertical="center" shrinkToFit="1"/>
    </xf>
    <xf numFmtId="176" fontId="5" fillId="0" borderId="13" xfId="0" applyNumberFormat="1" applyFont="1" applyBorder="1" applyAlignment="1">
      <alignment vertical="center" shrinkToFit="1"/>
    </xf>
    <xf numFmtId="0" fontId="5" fillId="0" borderId="11" xfId="0" applyFont="1" applyBorder="1" applyAlignment="1">
      <alignment vertical="center" shrinkToFit="1"/>
    </xf>
    <xf numFmtId="176" fontId="5" fillId="0" borderId="36" xfId="0" applyNumberFormat="1" applyFont="1" applyBorder="1" applyAlignment="1">
      <alignment vertical="center" shrinkToFit="1"/>
    </xf>
    <xf numFmtId="176" fontId="5" fillId="0" borderId="38" xfId="0" applyNumberFormat="1" applyFont="1" applyBorder="1" applyAlignment="1">
      <alignment vertical="center" shrinkToFit="1"/>
    </xf>
    <xf numFmtId="0" fontId="5" fillId="0" borderId="12" xfId="0" applyFont="1" applyBorder="1" applyAlignment="1">
      <alignment vertical="center" shrinkToFit="1"/>
    </xf>
    <xf numFmtId="176" fontId="5" fillId="0" borderId="37" xfId="0" applyNumberFormat="1" applyFont="1" applyBorder="1" applyAlignment="1">
      <alignment vertical="center" shrinkToFit="1"/>
    </xf>
    <xf numFmtId="0" fontId="8" fillId="4" borderId="5" xfId="0" applyFont="1" applyFill="1" applyBorder="1" applyAlignment="1">
      <alignment vertical="center" shrinkToFit="1"/>
    </xf>
    <xf numFmtId="176" fontId="8" fillId="4" borderId="21" xfId="0" applyNumberFormat="1" applyFont="1" applyFill="1" applyBorder="1" applyAlignment="1">
      <alignment vertical="center" shrinkToFit="1"/>
    </xf>
    <xf numFmtId="177" fontId="8" fillId="9" borderId="22" xfId="0" applyNumberFormat="1" applyFont="1" applyFill="1" applyBorder="1" applyAlignment="1">
      <alignment horizontal="right" vertical="center" shrinkToFit="1"/>
    </xf>
    <xf numFmtId="0" fontId="13" fillId="0" borderId="26" xfId="0" applyFont="1" applyFill="1" applyBorder="1" applyAlignment="1">
      <alignment vertical="center" shrinkToFit="1"/>
    </xf>
    <xf numFmtId="176" fontId="5" fillId="0" borderId="21" xfId="0" applyNumberFormat="1" applyFont="1" applyFill="1" applyBorder="1" applyAlignment="1">
      <alignment vertical="center" shrinkToFit="1"/>
    </xf>
    <xf numFmtId="0" fontId="13" fillId="0" borderId="5" xfId="0" applyFont="1" applyFill="1" applyBorder="1" applyAlignment="1">
      <alignment vertical="center" shrinkToFit="1"/>
    </xf>
    <xf numFmtId="177" fontId="5" fillId="0" borderId="22" xfId="0" applyNumberFormat="1" applyFont="1" applyBorder="1" applyAlignment="1">
      <alignment horizontal="right" vertical="center" shrinkToFit="1"/>
    </xf>
    <xf numFmtId="177" fontId="5" fillId="0" borderId="16" xfId="0" applyNumberFormat="1" applyFont="1" applyBorder="1" applyAlignment="1">
      <alignment horizontal="right" vertical="center" shrinkToFit="1"/>
    </xf>
    <xf numFmtId="177" fontId="8" fillId="9" borderId="60" xfId="0" applyNumberFormat="1" applyFont="1" applyFill="1" applyBorder="1" applyAlignment="1">
      <alignment horizontal="right" vertical="center" shrinkToFit="1"/>
    </xf>
    <xf numFmtId="177" fontId="8" fillId="4" borderId="16" xfId="0" applyNumberFormat="1" applyFont="1" applyFill="1" applyBorder="1" applyAlignment="1">
      <alignment horizontal="right" vertical="center" shrinkToFit="1"/>
    </xf>
    <xf numFmtId="177" fontId="8" fillId="9" borderId="63" xfId="0" applyNumberFormat="1" applyFont="1" applyFill="1" applyBorder="1" applyAlignment="1">
      <alignment horizontal="right" vertical="center" shrinkToFit="1"/>
    </xf>
    <xf numFmtId="177" fontId="8" fillId="9" borderId="14" xfId="0" applyNumberFormat="1" applyFont="1" applyFill="1" applyBorder="1" applyAlignment="1">
      <alignment horizontal="right" vertical="center" shrinkToFit="1"/>
    </xf>
    <xf numFmtId="0" fontId="13" fillId="0" borderId="26" xfId="0" applyFont="1" applyBorder="1" applyAlignment="1">
      <alignment vertical="center" shrinkToFit="1"/>
    </xf>
    <xf numFmtId="176" fontId="5" fillId="0" borderId="21" xfId="0" applyNumberFormat="1" applyFont="1" applyBorder="1" applyAlignment="1">
      <alignment vertical="center" shrinkToFit="1"/>
    </xf>
    <xf numFmtId="0" fontId="13" fillId="0" borderId="5" xfId="0" applyFont="1" applyBorder="1" applyAlignment="1">
      <alignment vertical="center" shrinkToFit="1"/>
    </xf>
    <xf numFmtId="0" fontId="8" fillId="2" borderId="65" xfId="0" applyFont="1" applyFill="1" applyBorder="1" applyAlignment="1">
      <alignment horizontal="center" vertical="center"/>
    </xf>
    <xf numFmtId="0" fontId="8" fillId="2" borderId="66" xfId="0" applyFont="1" applyFill="1" applyBorder="1" applyAlignment="1">
      <alignment horizontal="center" vertical="center"/>
    </xf>
    <xf numFmtId="0" fontId="5" fillId="0" borderId="67" xfId="0" applyFont="1" applyBorder="1">
      <alignment vertical="center"/>
    </xf>
    <xf numFmtId="0" fontId="5" fillId="0" borderId="68" xfId="0" applyFont="1" applyBorder="1">
      <alignment vertical="center"/>
    </xf>
    <xf numFmtId="0" fontId="8" fillId="2" borderId="70" xfId="0" applyFont="1" applyFill="1" applyBorder="1" applyAlignment="1">
      <alignment horizontal="left" vertical="center" indent="1"/>
    </xf>
    <xf numFmtId="0" fontId="5" fillId="0" borderId="71" xfId="0" applyFont="1" applyBorder="1" applyAlignment="1">
      <alignment horizontal="left" vertical="center" indent="1"/>
    </xf>
    <xf numFmtId="0" fontId="5" fillId="0" borderId="72" xfId="0" applyFont="1" applyBorder="1" applyAlignment="1">
      <alignment horizontal="left" vertical="center" indent="1"/>
    </xf>
    <xf numFmtId="0" fontId="5" fillId="0" borderId="73" xfId="0" applyFont="1" applyBorder="1" applyAlignment="1">
      <alignment horizontal="left" vertical="center" wrapText="1" indent="1"/>
    </xf>
    <xf numFmtId="0" fontId="8" fillId="2" borderId="5" xfId="0" applyFont="1" applyFill="1" applyBorder="1" applyAlignment="1">
      <alignment horizontal="center" vertical="center"/>
    </xf>
    <xf numFmtId="176" fontId="5" fillId="0" borderId="5" xfId="0" applyNumberFormat="1" applyFont="1" applyBorder="1" applyAlignment="1">
      <alignment horizontal="right" vertical="center"/>
    </xf>
    <xf numFmtId="177" fontId="5" fillId="0" borderId="5" xfId="0" applyNumberFormat="1" applyFont="1" applyBorder="1" applyAlignment="1">
      <alignment vertical="center"/>
    </xf>
    <xf numFmtId="176" fontId="5" fillId="0" borderId="5" xfId="0" applyNumberFormat="1" applyFont="1" applyBorder="1">
      <alignment vertical="center"/>
    </xf>
    <xf numFmtId="176" fontId="8" fillId="2" borderId="5" xfId="0" applyNumberFormat="1" applyFont="1" applyFill="1" applyBorder="1" applyAlignment="1">
      <alignment horizontal="right" vertical="center"/>
    </xf>
    <xf numFmtId="177" fontId="8" fillId="2" borderId="5" xfId="1" applyNumberFormat="1" applyFont="1" applyFill="1" applyBorder="1" applyAlignment="1">
      <alignment horizontal="right" vertical="center"/>
    </xf>
    <xf numFmtId="178" fontId="5" fillId="0" borderId="10" xfId="0" applyNumberFormat="1" applyFont="1" applyBorder="1">
      <alignment vertical="center"/>
    </xf>
    <xf numFmtId="180" fontId="5" fillId="0" borderId="10" xfId="1" applyNumberFormat="1" applyFont="1" applyBorder="1" applyAlignment="1">
      <alignment horizontal="right" vertical="center"/>
    </xf>
    <xf numFmtId="178" fontId="5" fillId="0" borderId="11" xfId="0" applyNumberFormat="1" applyFont="1" applyBorder="1">
      <alignment vertical="center"/>
    </xf>
    <xf numFmtId="180" fontId="5" fillId="0" borderId="11" xfId="1" applyNumberFormat="1" applyFont="1" applyBorder="1" applyAlignment="1">
      <alignment horizontal="right" vertical="center"/>
    </xf>
    <xf numFmtId="178" fontId="5" fillId="0" borderId="12" xfId="0" applyNumberFormat="1" applyFont="1" applyBorder="1">
      <alignment vertical="center"/>
    </xf>
    <xf numFmtId="180" fontId="5" fillId="0" borderId="12" xfId="1" applyNumberFormat="1" applyFont="1" applyBorder="1" applyAlignment="1">
      <alignment horizontal="right" vertical="center"/>
    </xf>
    <xf numFmtId="0" fontId="8" fillId="2" borderId="26"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26" xfId="0" applyFont="1" applyFill="1" applyBorder="1" applyAlignment="1">
      <alignment horizontal="left" vertical="center" indent="1"/>
    </xf>
    <xf numFmtId="0" fontId="8" fillId="2" borderId="28" xfId="0" applyFont="1" applyFill="1" applyBorder="1" applyAlignment="1">
      <alignment horizontal="left" vertical="center" indent="1"/>
    </xf>
    <xf numFmtId="178" fontId="5" fillId="0" borderId="76" xfId="0" applyNumberFormat="1" applyFont="1" applyBorder="1">
      <alignment vertical="center"/>
    </xf>
    <xf numFmtId="178" fontId="5" fillId="0" borderId="76" xfId="0" applyNumberFormat="1" applyFont="1" applyBorder="1" applyAlignment="1">
      <alignment horizontal="right" vertical="center"/>
    </xf>
    <xf numFmtId="180" fontId="5" fillId="0" borderId="76" xfId="1" applyNumberFormat="1" applyFont="1" applyBorder="1" applyAlignment="1">
      <alignment horizontal="right" vertical="center"/>
    </xf>
    <xf numFmtId="178" fontId="5" fillId="0" borderId="77" xfId="0" applyNumberFormat="1" applyFont="1" applyBorder="1">
      <alignment vertical="center"/>
    </xf>
    <xf numFmtId="178" fontId="5" fillId="0" borderId="77" xfId="0" applyNumberFormat="1" applyFont="1" applyBorder="1" applyAlignment="1">
      <alignment horizontal="right" vertical="center"/>
    </xf>
    <xf numFmtId="180" fontId="5" fillId="0" borderId="77" xfId="1" applyNumberFormat="1" applyFont="1" applyBorder="1" applyAlignment="1">
      <alignment horizontal="right" vertical="center"/>
    </xf>
    <xf numFmtId="178" fontId="5" fillId="0" borderId="78" xfId="0" applyNumberFormat="1" applyFont="1" applyBorder="1">
      <alignment vertical="center"/>
    </xf>
    <xf numFmtId="178" fontId="5" fillId="0" borderId="78" xfId="0" applyNumberFormat="1" applyFont="1" applyBorder="1" applyAlignment="1">
      <alignment horizontal="right" vertical="center"/>
    </xf>
    <xf numFmtId="180" fontId="5" fillId="0" borderId="78" xfId="1" applyNumberFormat="1" applyFont="1" applyBorder="1" applyAlignment="1">
      <alignment horizontal="right" vertical="center"/>
    </xf>
    <xf numFmtId="0" fontId="5" fillId="0" borderId="79" xfId="0" applyFont="1" applyBorder="1">
      <alignment vertical="center"/>
    </xf>
    <xf numFmtId="0" fontId="5" fillId="0" borderId="5" xfId="0" applyFont="1" applyBorder="1" applyAlignment="1">
      <alignment vertical="center"/>
    </xf>
    <xf numFmtId="38" fontId="5" fillId="0" borderId="5" xfId="7" applyFont="1" applyBorder="1">
      <alignment vertical="center"/>
    </xf>
    <xf numFmtId="0" fontId="13" fillId="0" borderId="5" xfId="0" applyFont="1" applyFill="1" applyBorder="1" applyAlignment="1">
      <alignment horizontal="left" vertical="center" wrapText="1"/>
    </xf>
    <xf numFmtId="38" fontId="5" fillId="0" borderId="43" xfId="0" applyNumberFormat="1" applyFont="1" applyFill="1" applyBorder="1">
      <alignment vertical="center"/>
    </xf>
    <xf numFmtId="38" fontId="5" fillId="0" borderId="49" xfId="7" applyFont="1" applyFill="1" applyBorder="1" applyAlignment="1">
      <alignment horizontal="right" vertical="center"/>
    </xf>
    <xf numFmtId="0" fontId="13" fillId="0" borderId="5" xfId="0" applyFont="1" applyFill="1" applyBorder="1" applyAlignment="1">
      <alignment horizontal="left" vertical="center"/>
    </xf>
    <xf numFmtId="38" fontId="5" fillId="0" borderId="49" xfId="0" applyNumberFormat="1" applyFont="1" applyFill="1" applyBorder="1">
      <alignment vertical="center"/>
    </xf>
    <xf numFmtId="38" fontId="5" fillId="0" borderId="43" xfId="0" applyNumberFormat="1" applyFont="1" applyBorder="1">
      <alignment vertical="center"/>
    </xf>
    <xf numFmtId="0" fontId="13" fillId="0" borderId="5" xfId="0" applyFont="1" applyBorder="1" applyAlignment="1">
      <alignment horizontal="left" vertical="center" wrapText="1"/>
    </xf>
    <xf numFmtId="38" fontId="5" fillId="0" borderId="49" xfId="0" applyNumberFormat="1" applyFont="1" applyBorder="1">
      <alignment vertical="center"/>
    </xf>
    <xf numFmtId="0" fontId="13" fillId="0" borderId="5" xfId="0" applyFont="1" applyBorder="1" applyAlignment="1">
      <alignment horizontal="left" vertical="center"/>
    </xf>
    <xf numFmtId="38" fontId="5" fillId="0" borderId="28" xfId="0" applyNumberFormat="1" applyFont="1" applyBorder="1">
      <alignment vertical="center"/>
    </xf>
    <xf numFmtId="0" fontId="5" fillId="0" borderId="26" xfId="0" applyFont="1" applyBorder="1" applyAlignment="1">
      <alignment horizontal="left" vertical="center"/>
    </xf>
    <xf numFmtId="0" fontId="5" fillId="0" borderId="5" xfId="0" applyFont="1" applyBorder="1" applyAlignment="1">
      <alignment horizontal="left" vertical="center"/>
    </xf>
    <xf numFmtId="176" fontId="5" fillId="0" borderId="5" xfId="7" applyNumberFormat="1" applyFont="1" applyBorder="1">
      <alignment vertical="center"/>
    </xf>
    <xf numFmtId="177" fontId="5" fillId="0" borderId="5" xfId="0" applyNumberFormat="1" applyFont="1" applyBorder="1" applyAlignment="1">
      <alignment horizontal="right" vertical="center"/>
    </xf>
    <xf numFmtId="0" fontId="8" fillId="2" borderId="5" xfId="0" applyFont="1" applyFill="1" applyBorder="1" applyAlignment="1">
      <alignment horizontal="left" vertical="center" indent="1"/>
    </xf>
    <xf numFmtId="0" fontId="5" fillId="0" borderId="5" xfId="0" applyFont="1" applyBorder="1">
      <alignment vertical="center"/>
    </xf>
    <xf numFmtId="176" fontId="5" fillId="0" borderId="5" xfId="7" applyNumberFormat="1" applyFont="1" applyBorder="1" applyAlignment="1">
      <alignment horizontal="right" vertical="center"/>
    </xf>
    <xf numFmtId="38" fontId="5" fillId="0" borderId="5" xfId="0" applyNumberFormat="1" applyFont="1" applyBorder="1">
      <alignment vertical="center"/>
    </xf>
    <xf numFmtId="0" fontId="8" fillId="2" borderId="5" xfId="0" applyFont="1" applyFill="1" applyBorder="1" applyAlignment="1">
      <alignment horizontal="right" vertical="center"/>
    </xf>
    <xf numFmtId="0" fontId="8" fillId="2" borderId="5" xfId="0" applyFont="1" applyFill="1" applyBorder="1">
      <alignment vertical="center"/>
    </xf>
    <xf numFmtId="0" fontId="5" fillId="0" borderId="5" xfId="0" applyFont="1" applyBorder="1" applyAlignment="1">
      <alignment vertical="center" wrapText="1"/>
    </xf>
    <xf numFmtId="176" fontId="5" fillId="0" borderId="5" xfId="0" applyNumberFormat="1" applyFont="1" applyBorder="1" applyAlignment="1">
      <alignment vertical="center"/>
    </xf>
    <xf numFmtId="0" fontId="5" fillId="0" borderId="5" xfId="0" applyFont="1" applyFill="1" applyBorder="1" applyAlignment="1">
      <alignment vertical="center" wrapText="1"/>
    </xf>
    <xf numFmtId="38" fontId="5" fillId="0" borderId="5" xfId="0" applyNumberFormat="1" applyFont="1" applyFill="1" applyBorder="1">
      <alignment vertical="center"/>
    </xf>
    <xf numFmtId="177" fontId="5" fillId="0" borderId="5" xfId="0" applyNumberFormat="1" applyFont="1" applyFill="1" applyBorder="1" applyAlignment="1">
      <alignment horizontal="right" vertical="center"/>
    </xf>
    <xf numFmtId="0" fontId="5" fillId="0" borderId="5" xfId="0" applyFont="1" applyFill="1" applyBorder="1">
      <alignment vertical="center"/>
    </xf>
    <xf numFmtId="179" fontId="5" fillId="0" borderId="5" xfId="0" applyNumberFormat="1" applyFont="1" applyBorder="1">
      <alignment vertical="center"/>
    </xf>
    <xf numFmtId="0" fontId="8" fillId="10" borderId="5" xfId="0" applyFont="1" applyFill="1" applyBorder="1" applyAlignment="1">
      <alignment horizontal="center" vertical="center"/>
    </xf>
    <xf numFmtId="0" fontId="15" fillId="10" borderId="5" xfId="0" applyFont="1" applyFill="1" applyBorder="1" applyAlignment="1">
      <alignment horizontal="center" vertical="center"/>
    </xf>
    <xf numFmtId="0" fontId="8" fillId="10" borderId="5" xfId="0" applyFont="1" applyFill="1" applyBorder="1" applyAlignment="1">
      <alignment horizontal="left" vertical="center" indent="1"/>
    </xf>
    <xf numFmtId="176" fontId="8" fillId="10" borderId="5" xfId="0" applyNumberFormat="1" applyFont="1" applyFill="1" applyBorder="1" applyAlignment="1">
      <alignment horizontal="right" vertical="center"/>
    </xf>
    <xf numFmtId="177" fontId="8" fillId="10" borderId="5" xfId="1" applyNumberFormat="1" applyFont="1" applyFill="1" applyBorder="1" applyAlignment="1">
      <alignment horizontal="right" vertical="center"/>
    </xf>
    <xf numFmtId="0" fontId="8" fillId="10" borderId="65" xfId="0" applyFont="1" applyFill="1" applyBorder="1" applyAlignment="1">
      <alignment horizontal="center" vertical="center"/>
    </xf>
    <xf numFmtId="0" fontId="8" fillId="10" borderId="66" xfId="0" applyFont="1" applyFill="1" applyBorder="1" applyAlignment="1">
      <alignment horizontal="center" vertical="center"/>
    </xf>
    <xf numFmtId="0" fontId="8" fillId="10" borderId="26" xfId="0" applyFont="1" applyFill="1" applyBorder="1" applyAlignment="1">
      <alignment horizontal="center" vertical="center"/>
    </xf>
    <xf numFmtId="0" fontId="8" fillId="10" borderId="28" xfId="0" applyFont="1" applyFill="1" applyBorder="1" applyAlignment="1">
      <alignment horizontal="center" vertical="center"/>
    </xf>
    <xf numFmtId="0" fontId="8" fillId="10" borderId="70" xfId="0" applyFont="1" applyFill="1" applyBorder="1" applyAlignment="1">
      <alignment horizontal="left" vertical="center" indent="1"/>
    </xf>
    <xf numFmtId="0" fontId="8" fillId="10" borderId="40" xfId="0" applyFont="1" applyFill="1" applyBorder="1" applyAlignment="1">
      <alignment horizontal="left" vertical="center" indent="1"/>
    </xf>
    <xf numFmtId="0" fontId="8" fillId="10" borderId="26" xfId="0" applyFont="1" applyFill="1" applyBorder="1" applyAlignment="1">
      <alignment horizontal="left" vertical="center" indent="1"/>
    </xf>
    <xf numFmtId="0" fontId="8" fillId="10" borderId="28" xfId="0" applyFont="1" applyFill="1" applyBorder="1" applyAlignment="1">
      <alignment horizontal="left" vertical="center" indent="1"/>
    </xf>
    <xf numFmtId="0" fontId="11" fillId="6" borderId="0" xfId="0" applyFont="1" applyFill="1" applyBorder="1" applyAlignment="1">
      <alignment horizontal="center" vertical="center"/>
    </xf>
    <xf numFmtId="38" fontId="5" fillId="0" borderId="5" xfId="7" applyFont="1" applyBorder="1" applyAlignment="1">
      <alignment horizontal="right" vertical="center"/>
    </xf>
    <xf numFmtId="38" fontId="5" fillId="0" borderId="5" xfId="7" applyFont="1" applyBorder="1" applyAlignment="1">
      <alignment vertical="center"/>
    </xf>
    <xf numFmtId="38" fontId="5" fillId="0" borderId="5" xfId="7" applyFont="1" applyBorder="1" applyAlignment="1">
      <alignment horizontal="right"/>
    </xf>
    <xf numFmtId="0" fontId="16" fillId="0" borderId="5" xfId="0" applyFont="1" applyBorder="1" applyAlignment="1">
      <alignment vertical="center" wrapText="1"/>
    </xf>
    <xf numFmtId="0" fontId="8" fillId="10" borderId="5" xfId="0" applyFont="1" applyFill="1" applyBorder="1">
      <alignment vertical="center"/>
    </xf>
    <xf numFmtId="0" fontId="8" fillId="10" borderId="5" xfId="0" applyFont="1" applyFill="1" applyBorder="1" applyAlignment="1">
      <alignment horizontal="right" vertical="center"/>
    </xf>
    <xf numFmtId="176" fontId="17" fillId="0" borderId="5" xfId="0" applyNumberFormat="1" applyFont="1" applyBorder="1">
      <alignment vertical="center"/>
    </xf>
    <xf numFmtId="0" fontId="8" fillId="12" borderId="5" xfId="0" applyFont="1" applyFill="1" applyBorder="1">
      <alignment vertical="center"/>
    </xf>
    <xf numFmtId="0" fontId="8" fillId="12" borderId="5" xfId="0" applyFont="1" applyFill="1" applyBorder="1" applyAlignment="1">
      <alignment horizontal="center" vertical="center"/>
    </xf>
    <xf numFmtId="176" fontId="8" fillId="12" borderId="5" xfId="0" applyNumberFormat="1" applyFont="1" applyFill="1" applyBorder="1">
      <alignment vertical="center"/>
    </xf>
    <xf numFmtId="177" fontId="8" fillId="12" borderId="5" xfId="1" applyNumberFormat="1" applyFont="1" applyFill="1" applyBorder="1">
      <alignment vertical="center"/>
    </xf>
    <xf numFmtId="176" fontId="8" fillId="12" borderId="5" xfId="7" applyNumberFormat="1" applyFont="1" applyFill="1" applyBorder="1">
      <alignment vertical="center"/>
    </xf>
    <xf numFmtId="0" fontId="8" fillId="12" borderId="43" xfId="0" applyFont="1" applyFill="1" applyBorder="1" applyAlignment="1">
      <alignment horizontal="center" vertical="center"/>
    </xf>
    <xf numFmtId="0" fontId="8" fillId="12" borderId="27" xfId="0" applyFont="1" applyFill="1" applyBorder="1" applyAlignment="1">
      <alignment horizontal="center" vertical="center"/>
    </xf>
    <xf numFmtId="176" fontId="5" fillId="0" borderId="43" xfId="0" applyNumberFormat="1" applyFont="1" applyBorder="1">
      <alignment vertical="center"/>
    </xf>
    <xf numFmtId="176" fontId="5" fillId="0" borderId="43" xfId="0" applyNumberFormat="1" applyFont="1" applyFill="1" applyBorder="1">
      <alignment vertical="center"/>
    </xf>
    <xf numFmtId="176" fontId="5" fillId="0" borderId="43" xfId="0" applyNumberFormat="1" applyFont="1" applyBorder="1" applyAlignment="1">
      <alignment horizontal="right" vertical="center"/>
    </xf>
    <xf numFmtId="177" fontId="5" fillId="0" borderId="41" xfId="0" applyNumberFormat="1" applyFont="1" applyBorder="1" applyAlignment="1">
      <alignment horizontal="right" vertical="center"/>
    </xf>
    <xf numFmtId="176" fontId="5" fillId="0" borderId="43" xfId="7" applyNumberFormat="1" applyFont="1" applyBorder="1">
      <alignment vertical="center"/>
    </xf>
    <xf numFmtId="177" fontId="5" fillId="0" borderId="27" xfId="1" applyNumberFormat="1" applyFont="1" applyBorder="1" applyAlignment="1">
      <alignment horizontal="right" vertical="center"/>
    </xf>
    <xf numFmtId="177" fontId="5" fillId="0" borderId="41" xfId="1" applyNumberFormat="1" applyFont="1" applyFill="1" applyBorder="1" applyAlignment="1">
      <alignment horizontal="right" vertical="center"/>
    </xf>
    <xf numFmtId="0" fontId="8" fillId="12" borderId="5" xfId="0" applyFont="1" applyFill="1" applyBorder="1" applyAlignment="1">
      <alignment vertical="center"/>
    </xf>
    <xf numFmtId="176" fontId="8" fillId="13" borderId="43" xfId="0" applyNumberFormat="1" applyFont="1" applyFill="1" applyBorder="1">
      <alignment vertical="center"/>
    </xf>
    <xf numFmtId="177" fontId="8" fillId="12" borderId="27" xfId="1" applyNumberFormat="1" applyFont="1" applyFill="1" applyBorder="1">
      <alignment vertical="center"/>
    </xf>
    <xf numFmtId="177" fontId="8" fillId="13" borderId="27" xfId="0" applyNumberFormat="1" applyFont="1" applyFill="1" applyBorder="1">
      <alignment vertical="center"/>
    </xf>
    <xf numFmtId="177" fontId="8" fillId="12" borderId="27" xfId="0" applyNumberFormat="1" applyFont="1" applyFill="1" applyBorder="1">
      <alignment vertical="center"/>
    </xf>
    <xf numFmtId="176" fontId="8" fillId="12" borderId="43" xfId="0" applyNumberFormat="1" applyFont="1" applyFill="1" applyBorder="1">
      <alignment vertical="center"/>
    </xf>
    <xf numFmtId="176" fontId="8" fillId="13" borderId="5" xfId="0" applyNumberFormat="1" applyFont="1" applyFill="1" applyBorder="1">
      <alignment vertical="center"/>
    </xf>
    <xf numFmtId="38" fontId="8" fillId="12" borderId="5" xfId="7" applyFont="1" applyFill="1" applyBorder="1">
      <alignment vertical="center"/>
    </xf>
    <xf numFmtId="0" fontId="14" fillId="12" borderId="43" xfId="0" applyFont="1" applyFill="1" applyBorder="1" applyAlignment="1">
      <alignment horizontal="center" vertical="center" wrapText="1"/>
    </xf>
    <xf numFmtId="0" fontId="14" fillId="12" borderId="47" xfId="0" applyFont="1" applyFill="1" applyBorder="1" applyAlignment="1">
      <alignment horizontal="center" vertical="center" wrapText="1"/>
    </xf>
    <xf numFmtId="0" fontId="14" fillId="12" borderId="49" xfId="0" applyFont="1" applyFill="1" applyBorder="1" applyAlignment="1">
      <alignment horizontal="center" vertical="center" wrapText="1"/>
    </xf>
    <xf numFmtId="0" fontId="14" fillId="12" borderId="27" xfId="0" applyFont="1" applyFill="1" applyBorder="1" applyAlignment="1">
      <alignment horizontal="center" vertical="center" wrapText="1"/>
    </xf>
    <xf numFmtId="0" fontId="8" fillId="12" borderId="5" xfId="0" applyFont="1" applyFill="1" applyBorder="1" applyAlignment="1">
      <alignment horizontal="left" vertical="center"/>
    </xf>
    <xf numFmtId="38" fontId="8" fillId="12" borderId="43" xfId="0" applyNumberFormat="1" applyFont="1" applyFill="1" applyBorder="1">
      <alignment vertical="center"/>
    </xf>
    <xf numFmtId="177" fontId="8" fillId="12" borderId="41" xfId="1" applyNumberFormat="1" applyFont="1" applyFill="1" applyBorder="1">
      <alignment vertical="center"/>
    </xf>
    <xf numFmtId="38" fontId="8" fillId="12" borderId="49" xfId="0" applyNumberFormat="1" applyFont="1" applyFill="1" applyBorder="1" applyAlignment="1">
      <alignment vertical="center" shrinkToFit="1"/>
    </xf>
    <xf numFmtId="38" fontId="8" fillId="12" borderId="49" xfId="0" applyNumberFormat="1" applyFont="1" applyFill="1" applyBorder="1">
      <alignment vertical="center"/>
    </xf>
    <xf numFmtId="0" fontId="14" fillId="12" borderId="26" xfId="0" applyFont="1" applyFill="1" applyBorder="1" applyAlignment="1">
      <alignment horizontal="center" vertical="center" wrapText="1"/>
    </xf>
    <xf numFmtId="0" fontId="14" fillId="12" borderId="48" xfId="0" applyFont="1" applyFill="1" applyBorder="1" applyAlignment="1">
      <alignment horizontal="center" vertical="center" wrapText="1"/>
    </xf>
    <xf numFmtId="177" fontId="8" fillId="12" borderId="47" xfId="1" applyNumberFormat="1" applyFont="1" applyFill="1" applyBorder="1">
      <alignment vertical="center"/>
    </xf>
    <xf numFmtId="0" fontId="19" fillId="0" borderId="0" xfId="0" applyFont="1" applyAlignment="1">
      <alignment vertical="center"/>
    </xf>
    <xf numFmtId="178" fontId="5" fillId="0" borderId="7" xfId="7" applyNumberFormat="1" applyFont="1" applyBorder="1">
      <alignment vertical="center"/>
    </xf>
    <xf numFmtId="178" fontId="5" fillId="0" borderId="45" xfId="7" applyNumberFormat="1" applyFont="1" applyBorder="1">
      <alignment vertical="center"/>
    </xf>
    <xf numFmtId="178" fontId="5" fillId="0" borderId="12" xfId="7" applyNumberFormat="1" applyFont="1" applyBorder="1">
      <alignment vertical="center"/>
    </xf>
    <xf numFmtId="178" fontId="5" fillId="0" borderId="6" xfId="7" applyNumberFormat="1" applyFont="1" applyBorder="1">
      <alignment vertical="center"/>
    </xf>
    <xf numFmtId="178" fontId="5" fillId="0" borderId="11" xfId="7" applyNumberFormat="1" applyFont="1" applyBorder="1">
      <alignment vertical="center"/>
    </xf>
    <xf numFmtId="178" fontId="5" fillId="0" borderId="29" xfId="7" applyNumberFormat="1" applyFont="1" applyBorder="1">
      <alignment vertical="center"/>
    </xf>
    <xf numFmtId="178" fontId="5" fillId="0" borderId="6" xfId="0" applyNumberFormat="1" applyFont="1" applyBorder="1">
      <alignment vertical="center"/>
    </xf>
    <xf numFmtId="0" fontId="11" fillId="3" borderId="0" xfId="0" applyFont="1" applyFill="1" applyAlignment="1">
      <alignment horizontal="center" vertical="center"/>
    </xf>
    <xf numFmtId="0" fontId="5" fillId="0" borderId="5" xfId="0" applyFont="1" applyBorder="1" applyAlignment="1">
      <alignment vertical="center" shrinkToFit="1"/>
    </xf>
    <xf numFmtId="0" fontId="11" fillId="3" borderId="0" xfId="0" applyFont="1" applyFill="1" applyAlignment="1">
      <alignment horizontal="left" vertical="center" shrinkToFit="1"/>
    </xf>
    <xf numFmtId="176" fontId="17" fillId="0" borderId="55" xfId="0" applyNumberFormat="1" applyFont="1" applyBorder="1">
      <alignment vertical="center"/>
    </xf>
    <xf numFmtId="0" fontId="11" fillId="0" borderId="0" xfId="0" applyFont="1" applyBorder="1" applyAlignment="1">
      <alignment horizontal="left" vertical="center"/>
    </xf>
    <xf numFmtId="0" fontId="11" fillId="0" borderId="0" xfId="0" applyFont="1" applyBorder="1" applyAlignment="1">
      <alignment horizontal="left" vertical="center" shrinkToFit="1"/>
    </xf>
    <xf numFmtId="0" fontId="11" fillId="3" borderId="0" xfId="0" applyFont="1" applyFill="1" applyBorder="1" applyAlignment="1">
      <alignment horizontal="left" vertical="center"/>
    </xf>
    <xf numFmtId="0" fontId="11" fillId="0" borderId="0" xfId="0" applyFont="1" applyAlignment="1">
      <alignment horizontal="center" vertical="center" shrinkToFit="1"/>
    </xf>
    <xf numFmtId="176" fontId="8" fillId="0" borderId="13" xfId="0" applyNumberFormat="1" applyFont="1" applyBorder="1" applyAlignment="1">
      <alignment vertical="center" shrinkToFit="1"/>
    </xf>
    <xf numFmtId="181" fontId="5" fillId="0" borderId="0" xfId="0" applyNumberFormat="1" applyFont="1" applyBorder="1" applyAlignment="1">
      <alignment vertical="center"/>
    </xf>
    <xf numFmtId="0" fontId="21" fillId="15" borderId="82" xfId="0" applyFont="1" applyFill="1" applyBorder="1" applyAlignment="1">
      <alignment horizontal="center" vertical="center"/>
    </xf>
    <xf numFmtId="182" fontId="5" fillId="6" borderId="55" xfId="0" applyNumberFormat="1" applyFont="1" applyFill="1" applyBorder="1">
      <alignment vertical="center"/>
    </xf>
    <xf numFmtId="0" fontId="11" fillId="6" borderId="83" xfId="0" applyFont="1" applyFill="1" applyBorder="1">
      <alignment vertical="center"/>
    </xf>
    <xf numFmtId="0" fontId="11" fillId="6" borderId="31" xfId="0" applyFont="1" applyFill="1" applyBorder="1" applyAlignment="1">
      <alignment vertical="center" wrapText="1"/>
    </xf>
    <xf numFmtId="182" fontId="5" fillId="6" borderId="84" xfId="0" applyNumberFormat="1" applyFont="1" applyFill="1" applyBorder="1">
      <alignment vertical="center"/>
    </xf>
    <xf numFmtId="0" fontId="11" fillId="0" borderId="31" xfId="0" applyFont="1" applyBorder="1" applyAlignment="1">
      <alignment vertical="center" wrapText="1"/>
    </xf>
    <xf numFmtId="182" fontId="5" fillId="0" borderId="84" xfId="0" applyNumberFormat="1" applyFont="1" applyBorder="1">
      <alignment vertical="center"/>
    </xf>
    <xf numFmtId="0" fontId="11" fillId="0" borderId="31" xfId="0" applyFont="1" applyBorder="1">
      <alignment vertical="center"/>
    </xf>
    <xf numFmtId="0" fontId="20" fillId="15" borderId="0" xfId="0" applyFont="1" applyFill="1" applyBorder="1" applyAlignment="1">
      <alignment horizontal="center" vertical="center"/>
    </xf>
    <xf numFmtId="0" fontId="11" fillId="6" borderId="0" xfId="0" applyFont="1" applyFill="1" applyBorder="1" applyAlignment="1">
      <alignment vertical="center"/>
    </xf>
    <xf numFmtId="0" fontId="11" fillId="0" borderId="0" xfId="0" applyFont="1" applyBorder="1" applyAlignment="1">
      <alignment vertical="center"/>
    </xf>
    <xf numFmtId="0" fontId="7" fillId="0" borderId="0" xfId="0" applyFont="1" applyAlignment="1">
      <alignment vertical="center"/>
    </xf>
    <xf numFmtId="0" fontId="5" fillId="0" borderId="85" xfId="0" applyFont="1" applyBorder="1">
      <alignment vertical="center"/>
    </xf>
    <xf numFmtId="176" fontId="17" fillId="0" borderId="55" xfId="0" applyNumberFormat="1" applyFont="1" applyBorder="1" applyProtection="1">
      <alignment vertical="center"/>
      <protection locked="0"/>
    </xf>
    <xf numFmtId="0" fontId="5" fillId="0" borderId="0" xfId="0" applyFont="1" applyBorder="1" applyAlignment="1">
      <alignment vertical="center"/>
    </xf>
    <xf numFmtId="182" fontId="5" fillId="0" borderId="0" xfId="0" applyNumberFormat="1" applyFont="1" applyBorder="1" applyAlignment="1">
      <alignment vertical="center"/>
    </xf>
    <xf numFmtId="0" fontId="11" fillId="0" borderId="82" xfId="0" applyFont="1" applyBorder="1">
      <alignment vertical="center"/>
    </xf>
    <xf numFmtId="0" fontId="11" fillId="6" borderId="82" xfId="0" applyFont="1" applyFill="1" applyBorder="1">
      <alignment vertical="center"/>
    </xf>
    <xf numFmtId="0" fontId="11" fillId="3" borderId="82" xfId="0" applyFont="1" applyFill="1" applyBorder="1" applyAlignment="1">
      <alignment horizontal="left" vertical="center"/>
    </xf>
    <xf numFmtId="0" fontId="11" fillId="0" borderId="0" xfId="0" applyFont="1" applyBorder="1">
      <alignment vertical="center"/>
    </xf>
    <xf numFmtId="0" fontId="11" fillId="6" borderId="0" xfId="0" applyFont="1" applyFill="1" applyBorder="1">
      <alignment vertical="center"/>
    </xf>
    <xf numFmtId="0" fontId="11" fillId="0" borderId="86" xfId="0" applyFont="1" applyBorder="1">
      <alignment vertical="center"/>
    </xf>
    <xf numFmtId="176" fontId="5" fillId="0" borderId="56" xfId="0" applyNumberFormat="1" applyFont="1" applyBorder="1">
      <alignment vertical="center"/>
    </xf>
    <xf numFmtId="176" fontId="11" fillId="0" borderId="15" xfId="0" applyNumberFormat="1" applyFont="1" applyBorder="1" applyAlignment="1">
      <alignment horizontal="left" vertical="center"/>
    </xf>
    <xf numFmtId="0" fontId="11" fillId="0" borderId="0" xfId="0" applyFont="1" applyAlignment="1">
      <alignment horizontal="left" vertical="center"/>
    </xf>
    <xf numFmtId="0" fontId="11" fillId="0" borderId="0" xfId="0" applyFont="1" applyAlignment="1">
      <alignment horizontal="right" vertical="center"/>
    </xf>
    <xf numFmtId="0" fontId="5" fillId="0" borderId="0" xfId="0" applyFont="1" applyAlignment="1">
      <alignment vertical="center" wrapText="1"/>
    </xf>
    <xf numFmtId="176" fontId="5" fillId="0" borderId="0" xfId="0" applyNumberFormat="1" applyFont="1" applyAlignment="1">
      <alignment vertical="center" wrapText="1"/>
    </xf>
    <xf numFmtId="0" fontId="11" fillId="0" borderId="0" xfId="0" applyFont="1" applyAlignment="1">
      <alignment horizontal="right" vertical="center" wrapText="1"/>
    </xf>
    <xf numFmtId="0" fontId="6" fillId="0" borderId="0" xfId="0" applyFont="1" applyAlignment="1">
      <alignment horizontal="center" vertical="center" shrinkToFit="1"/>
    </xf>
    <xf numFmtId="0" fontId="6" fillId="0" borderId="0" xfId="0" applyFont="1" applyAlignment="1">
      <alignment horizontal="left" vertical="center"/>
    </xf>
    <xf numFmtId="0" fontId="6" fillId="0" borderId="0" xfId="0" applyFont="1" applyAlignment="1">
      <alignment vertical="center"/>
    </xf>
    <xf numFmtId="176" fontId="11" fillId="14" borderId="87" xfId="0" applyNumberFormat="1" applyFont="1" applyFill="1" applyBorder="1" applyAlignment="1">
      <alignment vertical="center" shrinkToFit="1"/>
    </xf>
    <xf numFmtId="0" fontId="11" fillId="5" borderId="87" xfId="0" applyFont="1" applyFill="1" applyBorder="1" applyAlignment="1">
      <alignment horizontal="left" vertical="center" shrinkToFit="1"/>
    </xf>
    <xf numFmtId="176" fontId="11" fillId="5" borderId="87" xfId="0" applyNumberFormat="1" applyFont="1" applyFill="1" applyBorder="1" applyAlignment="1">
      <alignment vertical="center" shrinkToFit="1"/>
    </xf>
    <xf numFmtId="182" fontId="5" fillId="0" borderId="61" xfId="0" applyNumberFormat="1" applyFont="1" applyBorder="1">
      <alignment vertical="center"/>
    </xf>
    <xf numFmtId="0" fontId="11" fillId="0" borderId="87" xfId="0" applyFont="1" applyBorder="1">
      <alignment vertical="center"/>
    </xf>
    <xf numFmtId="0" fontId="11" fillId="0" borderId="0" xfId="0" applyFont="1" applyBorder="1" applyAlignment="1">
      <alignment vertical="center" wrapText="1"/>
    </xf>
    <xf numFmtId="0" fontId="11" fillId="5" borderId="0" xfId="0" applyFont="1" applyFill="1" applyBorder="1" applyAlignment="1">
      <alignment horizontal="left" vertical="center" shrinkToFit="1"/>
    </xf>
    <xf numFmtId="176" fontId="11" fillId="0" borderId="87" xfId="0" applyNumberFormat="1" applyFont="1" applyBorder="1">
      <alignment vertical="center"/>
    </xf>
    <xf numFmtId="0" fontId="11" fillId="5" borderId="87" xfId="0" applyFont="1" applyFill="1" applyBorder="1" applyAlignment="1">
      <alignment horizontal="center" vertical="center" shrinkToFit="1"/>
    </xf>
    <xf numFmtId="0" fontId="21" fillId="15" borderId="88" xfId="0" applyFont="1" applyFill="1" applyBorder="1" applyAlignment="1">
      <alignment horizontal="center" vertical="center"/>
    </xf>
    <xf numFmtId="0" fontId="11" fillId="3" borderId="87" xfId="0" applyFont="1" applyFill="1" applyBorder="1">
      <alignment vertical="center"/>
    </xf>
    <xf numFmtId="0" fontId="11" fillId="3" borderId="87" xfId="0" applyFont="1" applyFill="1" applyBorder="1" applyAlignment="1" applyProtection="1">
      <alignment horizontal="left" vertical="center"/>
      <protection locked="0"/>
    </xf>
    <xf numFmtId="0" fontId="11" fillId="3" borderId="0" xfId="0" applyFont="1" applyFill="1" applyAlignment="1" applyProtection="1">
      <alignment horizontal="left" vertical="center"/>
      <protection locked="0"/>
    </xf>
    <xf numFmtId="0" fontId="9" fillId="0" borderId="0" xfId="0" applyFont="1" applyAlignment="1" applyProtection="1">
      <alignment horizontal="left" vertical="center"/>
      <protection locked="0"/>
    </xf>
    <xf numFmtId="176" fontId="17" fillId="0" borderId="0" xfId="0" applyNumberFormat="1" applyFont="1" applyProtection="1">
      <alignment vertical="center"/>
      <protection locked="0"/>
    </xf>
    <xf numFmtId="0" fontId="11" fillId="3" borderId="0" xfId="0" applyFont="1" applyFill="1" applyAlignment="1" applyProtection="1">
      <alignment horizontal="left" vertical="center" shrinkToFit="1"/>
      <protection locked="0"/>
    </xf>
    <xf numFmtId="0" fontId="11" fillId="0" borderId="0" xfId="0" applyFont="1" applyAlignment="1" applyProtection="1">
      <alignment horizontal="center" vertical="center"/>
      <protection locked="0"/>
    </xf>
    <xf numFmtId="0" fontId="5" fillId="0" borderId="0" xfId="0" applyFont="1" applyProtection="1">
      <alignment vertical="center"/>
      <protection locked="0"/>
    </xf>
    <xf numFmtId="0" fontId="10" fillId="6" borderId="0" xfId="0" applyFont="1" applyFill="1" applyBorder="1" applyAlignment="1" applyProtection="1">
      <alignment horizontal="center" vertical="center" wrapText="1"/>
      <protection locked="0"/>
    </xf>
    <xf numFmtId="10" fontId="9" fillId="0" borderId="0" xfId="0" applyNumberFormat="1" applyFont="1" applyBorder="1" applyAlignment="1" applyProtection="1">
      <alignment horizontal="right" vertical="center" indent="1"/>
      <protection locked="0"/>
    </xf>
    <xf numFmtId="10" fontId="9" fillId="0" borderId="0" xfId="0" applyNumberFormat="1" applyFont="1" applyAlignment="1" applyProtection="1">
      <alignment horizontal="right" vertical="center" indent="1"/>
      <protection locked="0"/>
    </xf>
    <xf numFmtId="0" fontId="9" fillId="0" borderId="0" xfId="0" applyFont="1" applyProtection="1">
      <alignment vertical="center"/>
      <protection locked="0"/>
    </xf>
    <xf numFmtId="0" fontId="23" fillId="0" borderId="0" xfId="0" applyFont="1" applyAlignment="1">
      <alignment horizontal="center" vertical="center"/>
    </xf>
    <xf numFmtId="0" fontId="16" fillId="0" borderId="21" xfId="0" applyFont="1" applyBorder="1" applyAlignment="1">
      <alignment vertical="center" wrapText="1"/>
    </xf>
    <xf numFmtId="177" fontId="5" fillId="0" borderId="22" xfId="1" applyNumberFormat="1" applyFont="1" applyBorder="1">
      <alignment vertical="center"/>
    </xf>
    <xf numFmtId="0" fontId="23" fillId="0" borderId="91" xfId="0" applyFont="1" applyBorder="1" applyAlignment="1">
      <alignment horizontal="center" vertical="center"/>
    </xf>
    <xf numFmtId="0" fontId="24" fillId="0" borderId="92" xfId="0" applyFont="1" applyBorder="1" applyAlignment="1">
      <alignment horizontal="center" vertical="center"/>
    </xf>
    <xf numFmtId="177" fontId="5" fillId="0" borderId="93" xfId="1" applyNumberFormat="1" applyFont="1" applyBorder="1">
      <alignment vertical="center"/>
    </xf>
    <xf numFmtId="0" fontId="24" fillId="0" borderId="94" xfId="0" applyFont="1" applyBorder="1" applyAlignment="1">
      <alignment horizontal="center" vertical="center"/>
    </xf>
    <xf numFmtId="0" fontId="16" fillId="0" borderId="95" xfId="0" applyFont="1" applyBorder="1" applyAlignment="1">
      <alignment vertical="center" wrapText="1"/>
    </xf>
    <xf numFmtId="177" fontId="5" fillId="0" borderId="96" xfId="1" applyNumberFormat="1" applyFont="1" applyBorder="1">
      <alignment vertical="center"/>
    </xf>
    <xf numFmtId="177" fontId="5" fillId="0" borderId="97" xfId="1" applyNumberFormat="1" applyFont="1" applyBorder="1">
      <alignment vertical="center"/>
    </xf>
    <xf numFmtId="0" fontId="10" fillId="2" borderId="5" xfId="0" applyFont="1" applyFill="1" applyBorder="1" applyAlignment="1">
      <alignment horizontal="center" vertical="center"/>
    </xf>
    <xf numFmtId="0" fontId="25" fillId="0" borderId="0" xfId="0" applyFont="1">
      <alignment vertical="center"/>
    </xf>
    <xf numFmtId="0" fontId="9" fillId="0" borderId="5" xfId="0" applyFont="1" applyBorder="1" applyAlignment="1">
      <alignment horizontal="left" vertical="center"/>
    </xf>
    <xf numFmtId="0" fontId="10" fillId="10" borderId="5" xfId="0" applyFont="1" applyFill="1" applyBorder="1" applyAlignment="1">
      <alignment horizontal="center" vertical="center"/>
    </xf>
    <xf numFmtId="0" fontId="26" fillId="10" borderId="5" xfId="0" applyFont="1" applyFill="1" applyBorder="1" applyAlignment="1">
      <alignment horizontal="center" vertical="center"/>
    </xf>
    <xf numFmtId="185" fontId="9" fillId="0" borderId="5" xfId="0" applyNumberFormat="1" applyFont="1" applyBorder="1">
      <alignment vertical="center"/>
    </xf>
    <xf numFmtId="0" fontId="10" fillId="12" borderId="5" xfId="0" applyFont="1" applyFill="1" applyBorder="1">
      <alignment vertical="center"/>
    </xf>
    <xf numFmtId="0" fontId="10" fillId="12" borderId="5" xfId="0" applyFont="1" applyFill="1" applyBorder="1" applyAlignment="1">
      <alignment horizontal="center" vertical="center" shrinkToFit="1"/>
    </xf>
    <xf numFmtId="0" fontId="9" fillId="0" borderId="5" xfId="0" applyFont="1" applyBorder="1">
      <alignment vertical="center"/>
    </xf>
    <xf numFmtId="182" fontId="17" fillId="0" borderId="55" xfId="0" applyNumberFormat="1" applyFont="1" applyBorder="1">
      <alignment vertical="center"/>
    </xf>
    <xf numFmtId="0" fontId="15" fillId="4" borderId="5" xfId="0" applyFont="1" applyFill="1" applyBorder="1" applyAlignment="1">
      <alignment horizontal="center" vertical="center" wrapText="1"/>
    </xf>
    <xf numFmtId="177" fontId="5" fillId="0" borderId="5" xfId="1" applyNumberFormat="1" applyFont="1" applyBorder="1" applyAlignment="1">
      <alignment horizontal="right" vertical="center"/>
    </xf>
    <xf numFmtId="177" fontId="5" fillId="0" borderId="5" xfId="1" applyNumberFormat="1" applyFont="1" applyFill="1" applyBorder="1" applyAlignment="1">
      <alignment horizontal="right" vertical="center"/>
    </xf>
    <xf numFmtId="180" fontId="5" fillId="0" borderId="6" xfId="1" applyNumberFormat="1" applyFont="1" applyBorder="1" applyAlignment="1">
      <alignment horizontal="right" vertical="center"/>
    </xf>
    <xf numFmtId="180" fontId="5" fillId="0" borderId="45" xfId="1" applyNumberFormat="1" applyFont="1" applyBorder="1" applyAlignment="1">
      <alignment horizontal="right" vertical="center"/>
    </xf>
    <xf numFmtId="177" fontId="8" fillId="0" borderId="5" xfId="1" applyNumberFormat="1" applyFont="1" applyBorder="1" applyAlignment="1">
      <alignment horizontal="right" vertical="center"/>
    </xf>
    <xf numFmtId="180" fontId="5" fillId="0" borderId="29" xfId="1" applyNumberFormat="1" applyFont="1" applyBorder="1" applyAlignment="1">
      <alignment horizontal="right" vertical="center"/>
    </xf>
    <xf numFmtId="177" fontId="5" fillId="0" borderId="27" xfId="1" applyNumberFormat="1" applyFont="1" applyFill="1" applyBorder="1" applyAlignment="1">
      <alignment horizontal="right" vertical="center"/>
    </xf>
    <xf numFmtId="177" fontId="5" fillId="0" borderId="41" xfId="1" applyNumberFormat="1" applyFont="1" applyBorder="1" applyAlignment="1">
      <alignment horizontal="right" vertical="center"/>
    </xf>
    <xf numFmtId="177" fontId="5" fillId="0" borderId="27" xfId="0" applyNumberFormat="1" applyFont="1" applyFill="1" applyBorder="1" applyAlignment="1">
      <alignment horizontal="right" vertical="center"/>
    </xf>
    <xf numFmtId="177" fontId="5" fillId="0" borderId="27" xfId="0" applyNumberFormat="1" applyFont="1" applyBorder="1" applyAlignment="1">
      <alignment horizontal="right" vertical="center"/>
    </xf>
    <xf numFmtId="177" fontId="5" fillId="0" borderId="48" xfId="1" applyNumberFormat="1" applyFont="1" applyFill="1" applyBorder="1" applyAlignment="1">
      <alignment horizontal="right" vertical="center"/>
    </xf>
    <xf numFmtId="177" fontId="5" fillId="0" borderId="47" xfId="1" applyNumberFormat="1" applyFont="1" applyBorder="1" applyAlignment="1">
      <alignment horizontal="right" vertical="center"/>
    </xf>
    <xf numFmtId="177" fontId="5" fillId="0" borderId="48" xfId="1" applyNumberFormat="1" applyFont="1" applyBorder="1" applyAlignment="1">
      <alignment horizontal="right" vertical="center"/>
    </xf>
    <xf numFmtId="180" fontId="5" fillId="0" borderId="7" xfId="1" applyNumberFormat="1" applyFont="1" applyBorder="1" applyAlignment="1">
      <alignment horizontal="right" vertical="center"/>
    </xf>
    <xf numFmtId="177" fontId="5" fillId="11" borderId="5" xfId="0" applyNumberFormat="1" applyFont="1" applyFill="1" applyBorder="1" applyAlignment="1">
      <alignment horizontal="right" vertical="center"/>
    </xf>
    <xf numFmtId="0" fontId="21" fillId="3" borderId="0" xfId="0" applyFont="1" applyFill="1" applyBorder="1" applyAlignment="1">
      <alignment horizontal="left" vertical="center"/>
    </xf>
    <xf numFmtId="0" fontId="21" fillId="3" borderId="0" xfId="0" applyFont="1" applyFill="1" applyBorder="1" applyAlignment="1">
      <alignment horizontal="left" vertical="center" wrapText="1"/>
    </xf>
    <xf numFmtId="177" fontId="9" fillId="0" borderId="5" xfId="1" applyNumberFormat="1" applyFont="1" applyBorder="1">
      <alignment vertical="center"/>
    </xf>
    <xf numFmtId="0" fontId="5" fillId="0" borderId="5" xfId="0" applyFont="1" applyBorder="1" applyAlignment="1">
      <alignment horizontal="center" vertical="center"/>
    </xf>
    <xf numFmtId="0" fontId="5" fillId="0" borderId="5" xfId="0" applyFont="1" applyBorder="1" applyAlignment="1">
      <alignment horizontal="center" vertical="center" wrapText="1"/>
    </xf>
    <xf numFmtId="0" fontId="16" fillId="0" borderId="26" xfId="0" applyFont="1" applyBorder="1" applyAlignment="1">
      <alignment vertical="top" wrapText="1"/>
    </xf>
    <xf numFmtId="0" fontId="16" fillId="0" borderId="26" xfId="0" applyFont="1" applyFill="1" applyBorder="1" applyAlignment="1">
      <alignment vertical="top" wrapText="1"/>
    </xf>
    <xf numFmtId="0" fontId="21" fillId="15" borderId="99" xfId="0" applyFont="1" applyFill="1" applyBorder="1" applyAlignment="1">
      <alignment horizontal="center" vertical="center"/>
    </xf>
    <xf numFmtId="0" fontId="11" fillId="3" borderId="100" xfId="0" applyFont="1" applyFill="1" applyBorder="1" applyAlignment="1" applyProtection="1">
      <alignment horizontal="left" vertical="center"/>
      <protection locked="0"/>
    </xf>
    <xf numFmtId="176" fontId="21" fillId="15" borderId="82" xfId="0" applyNumberFormat="1" applyFont="1" applyFill="1" applyBorder="1" applyAlignment="1">
      <alignment horizontal="center" vertical="center"/>
    </xf>
    <xf numFmtId="181" fontId="5" fillId="0" borderId="101" xfId="0" applyNumberFormat="1" applyFont="1" applyBorder="1" applyAlignment="1">
      <alignment vertical="center"/>
    </xf>
    <xf numFmtId="0" fontId="20" fillId="15" borderId="82" xfId="0" applyFont="1" applyFill="1" applyBorder="1" applyAlignment="1">
      <alignment horizontal="center" vertical="center"/>
    </xf>
    <xf numFmtId="0" fontId="5" fillId="0" borderId="87" xfId="0" applyFont="1" applyBorder="1" applyAlignment="1">
      <alignment horizontal="center" vertical="center"/>
    </xf>
    <xf numFmtId="176" fontId="17" fillId="0" borderId="87" xfId="0" applyNumberFormat="1" applyFont="1" applyBorder="1" applyProtection="1">
      <alignment vertical="center"/>
      <protection locked="0"/>
    </xf>
    <xf numFmtId="0" fontId="21" fillId="15" borderId="99" xfId="0" applyFont="1" applyFill="1" applyBorder="1" applyAlignment="1">
      <alignment horizontal="center" vertical="center" shrinkToFit="1"/>
    </xf>
    <xf numFmtId="0" fontId="11" fillId="3" borderId="87" xfId="0" applyFont="1" applyFill="1" applyBorder="1" applyAlignment="1">
      <alignment horizontal="left" vertical="center"/>
    </xf>
    <xf numFmtId="0" fontId="11" fillId="3" borderId="0" xfId="0" applyFont="1" applyFill="1" applyAlignment="1">
      <alignment horizontal="left" vertical="center" wrapText="1"/>
    </xf>
    <xf numFmtId="0" fontId="17" fillId="3" borderId="87" xfId="0" applyFont="1" applyFill="1" applyBorder="1" applyAlignment="1">
      <alignment horizontal="right" vertical="center"/>
    </xf>
    <xf numFmtId="0" fontId="29" fillId="0" borderId="0" xfId="0" applyFont="1">
      <alignment vertical="center"/>
    </xf>
    <xf numFmtId="186" fontId="9" fillId="0" borderId="5" xfId="7" applyNumberFormat="1" applyFont="1" applyBorder="1">
      <alignment vertical="center"/>
    </xf>
    <xf numFmtId="186" fontId="9" fillId="0" borderId="5" xfId="0" applyNumberFormat="1" applyFont="1" applyBorder="1" applyAlignment="1">
      <alignment horizontal="right" vertical="center"/>
    </xf>
    <xf numFmtId="186" fontId="9" fillId="0" borderId="5" xfId="0" applyNumberFormat="1" applyFont="1" applyBorder="1">
      <alignment vertical="center"/>
    </xf>
    <xf numFmtId="0" fontId="10" fillId="2" borderId="65" xfId="0" applyFont="1" applyFill="1" applyBorder="1" applyAlignment="1">
      <alignment horizontal="center" vertical="center"/>
    </xf>
    <xf numFmtId="0" fontId="10" fillId="2" borderId="66" xfId="0" applyFont="1" applyFill="1" applyBorder="1" applyAlignment="1">
      <alignment horizontal="center" vertical="center"/>
    </xf>
    <xf numFmtId="0" fontId="9" fillId="0" borderId="0" xfId="0" applyFont="1" applyAlignment="1">
      <alignment vertical="center"/>
    </xf>
    <xf numFmtId="0" fontId="10" fillId="17" borderId="65" xfId="0" applyFont="1" applyFill="1" applyBorder="1" applyAlignment="1">
      <alignment horizontal="center" vertical="center"/>
    </xf>
    <xf numFmtId="0" fontId="10" fillId="17" borderId="66" xfId="0" applyFont="1" applyFill="1" applyBorder="1" applyAlignment="1">
      <alignment horizontal="center" vertical="center"/>
    </xf>
    <xf numFmtId="0" fontId="10" fillId="17" borderId="5" xfId="0" applyFont="1" applyFill="1" applyBorder="1" applyAlignment="1">
      <alignment horizontal="center" vertical="center"/>
    </xf>
    <xf numFmtId="0" fontId="10" fillId="13" borderId="65" xfId="0" applyFont="1" applyFill="1" applyBorder="1" applyAlignment="1">
      <alignment horizontal="center" vertical="center"/>
    </xf>
    <xf numFmtId="0" fontId="10" fillId="13" borderId="66" xfId="0" applyFont="1" applyFill="1" applyBorder="1" applyAlignment="1">
      <alignment horizontal="center" vertical="center"/>
    </xf>
    <xf numFmtId="0" fontId="10" fillId="13" borderId="5" xfId="0" applyFont="1" applyFill="1" applyBorder="1" applyAlignment="1">
      <alignment horizontal="center" vertical="center"/>
    </xf>
    <xf numFmtId="0" fontId="10" fillId="13" borderId="5" xfId="0" applyFont="1" applyFill="1" applyBorder="1" applyAlignment="1">
      <alignment horizontal="center" vertical="center" shrinkToFit="1"/>
    </xf>
    <xf numFmtId="0" fontId="10" fillId="0" borderId="42" xfId="0" applyFont="1" applyFill="1" applyBorder="1" applyAlignment="1">
      <alignment horizontal="center" vertical="center"/>
    </xf>
    <xf numFmtId="0" fontId="10" fillId="0" borderId="0" xfId="0" applyFont="1" applyFill="1" applyBorder="1" applyAlignment="1">
      <alignment horizontal="center" vertical="center"/>
    </xf>
    <xf numFmtId="176" fontId="9" fillId="0" borderId="42" xfId="0" applyNumberFormat="1" applyFont="1" applyFill="1" applyBorder="1" applyAlignment="1">
      <alignment horizontal="right" vertical="center"/>
    </xf>
    <xf numFmtId="176" fontId="9" fillId="0" borderId="0" xfId="0" applyNumberFormat="1" applyFont="1" applyFill="1" applyBorder="1" applyAlignment="1">
      <alignment horizontal="right" vertical="center"/>
    </xf>
    <xf numFmtId="0" fontId="9" fillId="0" borderId="0" xfId="0" applyFont="1" applyAlignment="1">
      <alignment horizontal="center" vertical="center"/>
    </xf>
    <xf numFmtId="0" fontId="9" fillId="0" borderId="0" xfId="0" applyFont="1" applyBorder="1" applyAlignment="1">
      <alignment horizontal="center" vertical="center"/>
    </xf>
    <xf numFmtId="0" fontId="9" fillId="0" borderId="55" xfId="0" applyFont="1" applyBorder="1">
      <alignment vertical="center"/>
    </xf>
    <xf numFmtId="0" fontId="9" fillId="0" borderId="55" xfId="0" applyFont="1" applyBorder="1" applyAlignment="1">
      <alignment horizontal="center" vertical="center"/>
    </xf>
    <xf numFmtId="0" fontId="9" fillId="0" borderId="55" xfId="0" applyFont="1" applyBorder="1" applyAlignment="1">
      <alignment horizontal="center" vertical="center" shrinkToFit="1"/>
    </xf>
    <xf numFmtId="0" fontId="9" fillId="0" borderId="55" xfId="0" applyFont="1" applyBorder="1" applyAlignment="1">
      <alignment horizontal="left" vertical="center"/>
    </xf>
    <xf numFmtId="186" fontId="9" fillId="0" borderId="55" xfId="0" applyNumberFormat="1" applyFont="1" applyBorder="1">
      <alignment vertical="center"/>
    </xf>
    <xf numFmtId="177" fontId="9" fillId="0" borderId="55" xfId="1" applyNumberFormat="1" applyFont="1" applyBorder="1">
      <alignment vertical="center"/>
    </xf>
    <xf numFmtId="0" fontId="30" fillId="0" borderId="55" xfId="0" applyFont="1" applyFill="1" applyBorder="1" applyAlignment="1">
      <alignment horizontal="center" vertical="center"/>
    </xf>
    <xf numFmtId="0" fontId="9" fillId="0" borderId="55" xfId="0" applyFont="1" applyBorder="1" applyAlignment="1">
      <alignment horizontal="left" vertical="center" wrapText="1"/>
    </xf>
    <xf numFmtId="186" fontId="9" fillId="0" borderId="55" xfId="7" applyNumberFormat="1" applyFont="1" applyBorder="1">
      <alignment vertical="center"/>
    </xf>
    <xf numFmtId="177" fontId="9" fillId="0" borderId="0" xfId="1" applyNumberFormat="1" applyFont="1">
      <alignment vertical="center"/>
    </xf>
    <xf numFmtId="0" fontId="30" fillId="0" borderId="55" xfId="0" applyFont="1" applyBorder="1" applyAlignment="1">
      <alignment horizontal="center" vertical="center"/>
    </xf>
    <xf numFmtId="0" fontId="31" fillId="0" borderId="55" xfId="0" applyFont="1" applyBorder="1" applyAlignment="1">
      <alignment vertical="center" wrapText="1"/>
    </xf>
    <xf numFmtId="0" fontId="9" fillId="16" borderId="0" xfId="0" applyNumberFormat="1" applyFont="1" applyFill="1">
      <alignment vertical="center"/>
    </xf>
    <xf numFmtId="0" fontId="9" fillId="0" borderId="55" xfId="0" applyFont="1" applyBorder="1" applyAlignment="1">
      <alignment vertical="center" wrapText="1"/>
    </xf>
    <xf numFmtId="0" fontId="29" fillId="0" borderId="5" xfId="0" applyFont="1" applyBorder="1" applyAlignment="1">
      <alignment vertical="top" wrapText="1"/>
    </xf>
    <xf numFmtId="0" fontId="29" fillId="0" borderId="5" xfId="0" applyFont="1" applyFill="1" applyBorder="1" applyAlignment="1">
      <alignment vertical="top" wrapText="1"/>
    </xf>
    <xf numFmtId="176" fontId="5" fillId="0" borderId="85" xfId="0" applyNumberFormat="1" applyFont="1" applyBorder="1">
      <alignment vertical="center"/>
    </xf>
    <xf numFmtId="0" fontId="11" fillId="3" borderId="102" xfId="0" applyFont="1" applyFill="1" applyBorder="1" applyAlignment="1">
      <alignment horizontal="center" vertical="center"/>
    </xf>
    <xf numFmtId="176" fontId="5" fillId="0" borderId="102" xfId="0" applyNumberFormat="1" applyFont="1" applyBorder="1">
      <alignment vertical="center"/>
    </xf>
    <xf numFmtId="0" fontId="9" fillId="0" borderId="55" xfId="0" applyFont="1" applyBorder="1" applyAlignment="1">
      <alignment horizontal="center" vertical="center" shrinkToFit="1"/>
    </xf>
    <xf numFmtId="0" fontId="5" fillId="0" borderId="5" xfId="0" applyFont="1" applyFill="1" applyBorder="1" applyAlignment="1">
      <alignment horizontal="left" vertical="center" wrapText="1"/>
    </xf>
    <xf numFmtId="0" fontId="5" fillId="0" borderId="5" xfId="0" applyFont="1" applyFill="1" applyBorder="1" applyAlignment="1">
      <alignment vertical="center" shrinkToFit="1"/>
    </xf>
    <xf numFmtId="0" fontId="5" fillId="0" borderId="0" xfId="0" applyFont="1">
      <alignment vertical="center"/>
    </xf>
    <xf numFmtId="0" fontId="5" fillId="0" borderId="0" xfId="0" applyFont="1">
      <alignment vertical="center"/>
    </xf>
    <xf numFmtId="0" fontId="5" fillId="0" borderId="0" xfId="0" applyFont="1" applyAlignment="1">
      <alignment horizontal="left" vertical="center"/>
    </xf>
    <xf numFmtId="0" fontId="9" fillId="0" borderId="0" xfId="0" applyFont="1">
      <alignment vertical="center"/>
    </xf>
    <xf numFmtId="0" fontId="5" fillId="0" borderId="0" xfId="0" applyFont="1">
      <alignment vertical="center"/>
    </xf>
    <xf numFmtId="3" fontId="5" fillId="0" borderId="55" xfId="0" applyNumberFormat="1" applyFont="1" applyBorder="1">
      <alignment vertical="center"/>
    </xf>
    <xf numFmtId="0" fontId="16" fillId="0" borderId="45" xfId="0" applyFont="1" applyBorder="1" applyAlignment="1">
      <alignment horizontal="left" vertical="center" indent="1"/>
    </xf>
    <xf numFmtId="176" fontId="5" fillId="0" borderId="61" xfId="0" applyNumberFormat="1" applyFont="1" applyBorder="1">
      <alignment vertical="center"/>
    </xf>
    <xf numFmtId="0" fontId="13" fillId="0" borderId="45" xfId="0" applyFont="1" applyBorder="1" applyAlignment="1">
      <alignment horizontal="left" vertical="center" indent="1"/>
    </xf>
    <xf numFmtId="0" fontId="13" fillId="0" borderId="45" xfId="0" applyFont="1" applyBorder="1" applyAlignment="1">
      <alignment horizontal="left" vertical="center" wrapText="1" indent="1"/>
    </xf>
    <xf numFmtId="176" fontId="5" fillId="0" borderId="103" xfId="0" applyNumberFormat="1" applyFont="1" applyBorder="1">
      <alignment vertical="center"/>
    </xf>
    <xf numFmtId="0" fontId="12" fillId="0" borderId="10" xfId="0" applyFont="1" applyBorder="1" applyAlignment="1">
      <alignment horizontal="left" vertical="center" wrapText="1" indent="1"/>
    </xf>
    <xf numFmtId="0" fontId="8" fillId="18" borderId="5" xfId="0" applyFont="1" applyFill="1" applyBorder="1" applyAlignment="1">
      <alignment horizontal="center" vertical="center"/>
    </xf>
    <xf numFmtId="176" fontId="5" fillId="0" borderId="10" xfId="0" applyNumberFormat="1" applyFont="1" applyBorder="1" applyAlignment="1">
      <alignment horizontal="right" vertical="center"/>
    </xf>
    <xf numFmtId="176" fontId="5" fillId="0" borderId="10" xfId="0" applyNumberFormat="1" applyFont="1" applyBorder="1">
      <alignment vertical="center"/>
    </xf>
    <xf numFmtId="0" fontId="11" fillId="8" borderId="0" xfId="0" applyFont="1" applyFill="1">
      <alignment vertical="center"/>
    </xf>
    <xf numFmtId="177" fontId="5" fillId="0" borderId="29" xfId="0" applyNumberFormat="1" applyFont="1" applyBorder="1" applyAlignment="1">
      <alignment horizontal="right" vertical="center"/>
    </xf>
    <xf numFmtId="176" fontId="8" fillId="18" borderId="10" xfId="0" applyNumberFormat="1" applyFont="1" applyFill="1" applyBorder="1" applyAlignment="1">
      <alignment horizontal="right" vertical="center" shrinkToFit="1"/>
    </xf>
    <xf numFmtId="176" fontId="8" fillId="19" borderId="10" xfId="0" applyNumberFormat="1" applyFont="1" applyFill="1" applyBorder="1" applyAlignment="1">
      <alignment vertical="center" shrinkToFit="1"/>
    </xf>
    <xf numFmtId="177" fontId="8" fillId="18" borderId="29" xfId="0" applyNumberFormat="1" applyFont="1" applyFill="1" applyBorder="1" applyAlignment="1">
      <alignment horizontal="right" vertical="center" shrinkToFit="1"/>
    </xf>
    <xf numFmtId="177" fontId="5" fillId="0" borderId="29" xfId="1" applyNumberFormat="1" applyFont="1" applyBorder="1">
      <alignment vertical="center"/>
    </xf>
    <xf numFmtId="0" fontId="5" fillId="0" borderId="6" xfId="0" applyFont="1" applyBorder="1" applyAlignment="1">
      <alignment horizontal="left" vertical="center"/>
    </xf>
    <xf numFmtId="0" fontId="11" fillId="8" borderId="0" xfId="0" applyFont="1" applyFill="1" applyAlignment="1">
      <alignment vertical="center" wrapText="1"/>
    </xf>
    <xf numFmtId="0" fontId="5" fillId="0" borderId="29" xfId="0" applyFont="1" applyBorder="1" applyAlignment="1">
      <alignment horizontal="left" vertical="center"/>
    </xf>
    <xf numFmtId="177" fontId="5" fillId="0" borderId="0" xfId="0" applyNumberFormat="1" applyFont="1" applyBorder="1" applyAlignment="1">
      <alignment horizontal="right" vertical="center"/>
    </xf>
    <xf numFmtId="176" fontId="5" fillId="0" borderId="6" xfId="0" applyNumberFormat="1" applyFont="1" applyBorder="1" applyAlignment="1">
      <alignment horizontal="right" vertical="center"/>
    </xf>
    <xf numFmtId="176" fontId="5" fillId="0" borderId="6" xfId="0" applyNumberFormat="1" applyFont="1" applyBorder="1">
      <alignment vertical="center"/>
    </xf>
    <xf numFmtId="176" fontId="8" fillId="19" borderId="0" xfId="0" applyNumberFormat="1" applyFont="1" applyFill="1" applyBorder="1" applyAlignment="1">
      <alignment vertical="center" shrinkToFit="1"/>
    </xf>
    <xf numFmtId="177" fontId="8" fillId="18" borderId="0" xfId="0" applyNumberFormat="1" applyFont="1" applyFill="1" applyBorder="1" applyAlignment="1">
      <alignment horizontal="right" vertical="center" shrinkToFit="1"/>
    </xf>
    <xf numFmtId="0" fontId="17" fillId="0" borderId="0" xfId="0" applyFont="1">
      <alignment vertical="center"/>
    </xf>
    <xf numFmtId="0" fontId="16" fillId="0" borderId="6" xfId="0" applyFont="1" applyBorder="1" applyAlignment="1">
      <alignment horizontal="left" vertical="center"/>
    </xf>
    <xf numFmtId="0" fontId="16" fillId="0" borderId="29" xfId="0" applyFont="1" applyBorder="1" applyAlignment="1">
      <alignment horizontal="left" vertical="center"/>
    </xf>
    <xf numFmtId="0" fontId="16" fillId="0" borderId="6" xfId="0" applyFont="1" applyBorder="1" applyAlignment="1">
      <alignment vertical="center"/>
    </xf>
    <xf numFmtId="0" fontId="16" fillId="0" borderId="29" xfId="0" applyFont="1" applyBorder="1">
      <alignment vertical="center"/>
    </xf>
    <xf numFmtId="0" fontId="16" fillId="0" borderId="29" xfId="0" applyFont="1" applyBorder="1" applyAlignment="1">
      <alignment vertical="center"/>
    </xf>
    <xf numFmtId="38" fontId="5" fillId="0" borderId="0" xfId="0" applyNumberFormat="1" applyFont="1" applyAlignment="1">
      <alignment vertical="center" wrapText="1"/>
    </xf>
    <xf numFmtId="177" fontId="5" fillId="0" borderId="29" xfId="0" applyNumberFormat="1" applyFont="1" applyBorder="1">
      <alignment vertical="center"/>
    </xf>
    <xf numFmtId="177" fontId="8" fillId="0" borderId="0" xfId="0" applyNumberFormat="1" applyFont="1" applyFill="1" applyBorder="1" applyAlignment="1">
      <alignment horizontal="right" vertical="center"/>
    </xf>
    <xf numFmtId="0" fontId="8" fillId="18" borderId="5" xfId="0" applyFont="1" applyFill="1" applyBorder="1" applyAlignment="1">
      <alignment horizontal="center" vertical="center" wrapText="1"/>
    </xf>
    <xf numFmtId="0" fontId="8" fillId="18" borderId="6" xfId="0" applyFont="1" applyFill="1" applyBorder="1" applyAlignment="1">
      <alignment horizontal="left" vertical="center" indent="1"/>
    </xf>
    <xf numFmtId="176" fontId="8" fillId="18" borderId="10" xfId="0" applyNumberFormat="1" applyFont="1" applyFill="1" applyBorder="1" applyAlignment="1">
      <alignment horizontal="right" vertical="center"/>
    </xf>
    <xf numFmtId="176" fontId="8" fillId="19" borderId="10" xfId="0" applyNumberFormat="1" applyFont="1" applyFill="1" applyBorder="1">
      <alignment vertical="center"/>
    </xf>
    <xf numFmtId="0" fontId="8" fillId="18" borderId="29" xfId="0" applyFont="1" applyFill="1" applyBorder="1" applyAlignment="1">
      <alignment horizontal="left" vertical="center" indent="1"/>
    </xf>
    <xf numFmtId="177" fontId="8" fillId="18" borderId="29" xfId="0" applyNumberFormat="1" applyFont="1" applyFill="1" applyBorder="1" applyAlignment="1">
      <alignment horizontal="right" vertical="center"/>
    </xf>
    <xf numFmtId="0" fontId="11" fillId="3" borderId="0" xfId="0" applyFont="1" applyFill="1" applyAlignment="1">
      <alignment vertical="center"/>
    </xf>
    <xf numFmtId="38" fontId="8" fillId="6" borderId="31" xfId="0" applyNumberFormat="1" applyFont="1" applyFill="1" applyBorder="1">
      <alignment vertical="center"/>
    </xf>
    <xf numFmtId="177" fontId="5" fillId="0" borderId="12" xfId="0" applyNumberFormat="1" applyFont="1" applyBorder="1" applyAlignment="1">
      <alignment horizontal="right" vertical="center"/>
    </xf>
    <xf numFmtId="176" fontId="5" fillId="0" borderId="104" xfId="0" applyNumberFormat="1" applyFont="1" applyBorder="1" applyAlignment="1">
      <alignment horizontal="right" vertical="center"/>
    </xf>
    <xf numFmtId="176" fontId="5" fillId="0" borderId="105" xfId="0" applyNumberFormat="1" applyFont="1" applyBorder="1" applyAlignment="1">
      <alignment horizontal="right" vertical="center"/>
    </xf>
    <xf numFmtId="176" fontId="17" fillId="3" borderId="0" xfId="0" applyNumberFormat="1" applyFont="1" applyFill="1" applyAlignment="1">
      <alignment vertical="center"/>
    </xf>
    <xf numFmtId="176" fontId="17" fillId="0" borderId="0" xfId="0" applyNumberFormat="1" applyFont="1" applyAlignment="1">
      <alignment vertical="center"/>
    </xf>
    <xf numFmtId="177" fontId="5" fillId="0" borderId="7" xfId="0" applyNumberFormat="1" applyFont="1" applyBorder="1" applyAlignment="1">
      <alignment horizontal="right" vertical="center"/>
    </xf>
    <xf numFmtId="0" fontId="16" fillId="0" borderId="8" xfId="0" applyFont="1" applyBorder="1" applyAlignment="1">
      <alignment horizontal="left" vertical="center"/>
    </xf>
    <xf numFmtId="0" fontId="16" fillId="0" borderId="44" xfId="0" applyFont="1" applyBorder="1" applyAlignment="1">
      <alignment horizontal="left" vertical="center"/>
    </xf>
    <xf numFmtId="0" fontId="10" fillId="0" borderId="0" xfId="0" applyFont="1">
      <alignment vertical="center"/>
    </xf>
    <xf numFmtId="0" fontId="15" fillId="18" borderId="5" xfId="0" applyFont="1" applyFill="1" applyBorder="1" applyAlignment="1">
      <alignment horizontal="center" vertical="center"/>
    </xf>
    <xf numFmtId="0" fontId="15" fillId="18" borderId="5" xfId="0" applyFont="1" applyFill="1" applyBorder="1" applyAlignment="1">
      <alignment horizontal="center" vertical="center" wrapText="1"/>
    </xf>
    <xf numFmtId="176" fontId="16" fillId="0" borderId="6" xfId="0" applyNumberFormat="1" applyFont="1" applyBorder="1" applyAlignment="1">
      <alignment horizontal="right" vertical="center"/>
    </xf>
    <xf numFmtId="176" fontId="16" fillId="0" borderId="6" xfId="0" applyNumberFormat="1" applyFont="1" applyBorder="1">
      <alignment vertical="center"/>
    </xf>
    <xf numFmtId="0" fontId="11" fillId="0" borderId="0" xfId="0" applyFont="1" applyBorder="1" applyAlignment="1">
      <alignment horizontal="right" vertical="center"/>
    </xf>
    <xf numFmtId="38" fontId="11" fillId="0" borderId="0" xfId="0" applyNumberFormat="1" applyFont="1" applyBorder="1" applyAlignment="1">
      <alignment horizontal="right" vertical="center"/>
    </xf>
    <xf numFmtId="177" fontId="16" fillId="0" borderId="29" xfId="0" applyNumberFormat="1" applyFont="1" applyBorder="1" applyAlignment="1">
      <alignment horizontal="right" vertical="center"/>
    </xf>
    <xf numFmtId="176" fontId="15" fillId="18" borderId="6" xfId="0" applyNumberFormat="1" applyFont="1" applyFill="1" applyBorder="1" applyAlignment="1">
      <alignment horizontal="right" vertical="center"/>
    </xf>
    <xf numFmtId="177" fontId="15" fillId="18" borderId="29" xfId="0" applyNumberFormat="1" applyFont="1" applyFill="1" applyBorder="1" applyAlignment="1">
      <alignment horizontal="right" vertical="center"/>
    </xf>
    <xf numFmtId="0" fontId="36" fillId="0" borderId="0" xfId="0" applyFont="1">
      <alignment vertical="center"/>
    </xf>
    <xf numFmtId="38" fontId="11" fillId="0" borderId="0" xfId="0" applyNumberFormat="1" applyFont="1" applyBorder="1">
      <alignment vertical="center"/>
    </xf>
    <xf numFmtId="3" fontId="5" fillId="0" borderId="0" xfId="0" applyNumberFormat="1" applyFont="1">
      <alignment vertical="center"/>
    </xf>
    <xf numFmtId="0" fontId="13" fillId="0" borderId="0" xfId="0" applyFont="1">
      <alignment vertical="center"/>
    </xf>
    <xf numFmtId="0" fontId="14" fillId="5" borderId="6" xfId="0" applyFont="1" applyFill="1" applyBorder="1" applyAlignment="1">
      <alignment horizontal="center" vertical="center"/>
    </xf>
    <xf numFmtId="0" fontId="14" fillId="5" borderId="29" xfId="0" applyFont="1" applyFill="1" applyBorder="1" applyAlignment="1">
      <alignment horizontal="center" vertical="center"/>
    </xf>
    <xf numFmtId="0" fontId="37" fillId="5" borderId="5" xfId="0" applyFont="1" applyFill="1" applyBorder="1" applyAlignment="1">
      <alignment horizontal="center" vertical="center" textRotation="255"/>
    </xf>
    <xf numFmtId="0" fontId="37" fillId="5" borderId="5" xfId="0" applyFont="1" applyFill="1" applyBorder="1" applyAlignment="1">
      <alignment horizontal="center" vertical="center" textRotation="255" wrapText="1"/>
    </xf>
    <xf numFmtId="176" fontId="13" fillId="0" borderId="5" xfId="0" applyNumberFormat="1" applyFont="1" applyBorder="1" applyAlignment="1">
      <alignment vertical="center" shrinkToFit="1"/>
    </xf>
    <xf numFmtId="176" fontId="14" fillId="0" borderId="5" xfId="0" applyNumberFormat="1" applyFont="1" applyBorder="1" applyAlignment="1">
      <alignment vertical="center" shrinkToFit="1"/>
    </xf>
    <xf numFmtId="0" fontId="37" fillId="5" borderId="6" xfId="0" applyFont="1" applyFill="1" applyBorder="1" applyAlignment="1">
      <alignment horizontal="center" vertical="center" textRotation="255"/>
    </xf>
    <xf numFmtId="0" fontId="37" fillId="5" borderId="6" xfId="0" applyFont="1" applyFill="1" applyBorder="1" applyAlignment="1">
      <alignment horizontal="center" vertical="center" textRotation="255" wrapText="1"/>
    </xf>
    <xf numFmtId="176" fontId="14" fillId="0" borderId="106" xfId="0" applyNumberFormat="1" applyFont="1" applyBorder="1" applyAlignment="1">
      <alignment vertical="center" shrinkToFit="1"/>
    </xf>
    <xf numFmtId="176" fontId="13" fillId="0" borderId="29" xfId="0" applyNumberFormat="1" applyFont="1" applyBorder="1" applyAlignment="1">
      <alignment vertical="center" shrinkToFit="1"/>
    </xf>
    <xf numFmtId="176" fontId="14" fillId="0" borderId="29" xfId="0" applyNumberFormat="1" applyFont="1" applyBorder="1" applyAlignment="1">
      <alignment vertical="center" shrinkToFit="1"/>
    </xf>
    <xf numFmtId="176" fontId="13" fillId="0" borderId="6" xfId="0" applyNumberFormat="1" applyFont="1" applyBorder="1" applyAlignment="1">
      <alignment vertical="center" shrinkToFit="1"/>
    </xf>
    <xf numFmtId="176" fontId="14" fillId="0" borderId="6" xfId="0" applyNumberFormat="1" applyFont="1" applyBorder="1" applyAlignment="1">
      <alignment vertical="center" shrinkToFit="1"/>
    </xf>
    <xf numFmtId="176" fontId="13" fillId="0" borderId="106" xfId="0" applyNumberFormat="1" applyFont="1" applyBorder="1" applyAlignment="1">
      <alignment vertical="center" shrinkToFit="1"/>
    </xf>
    <xf numFmtId="0" fontId="14" fillId="5" borderId="29" xfId="0" applyFont="1" applyFill="1" applyBorder="1" applyAlignment="1">
      <alignment horizontal="center" vertical="center" shrinkToFit="1"/>
    </xf>
    <xf numFmtId="176" fontId="14" fillId="5" borderId="29" xfId="0" applyNumberFormat="1" applyFont="1" applyFill="1" applyBorder="1" applyAlignment="1">
      <alignment vertical="center" shrinkToFit="1"/>
    </xf>
    <xf numFmtId="0" fontId="38" fillId="0" borderId="0" xfId="0" applyFont="1">
      <alignment vertical="center"/>
    </xf>
    <xf numFmtId="0" fontId="5" fillId="0" borderId="84" xfId="0" applyFont="1" applyBorder="1" applyAlignment="1">
      <alignment vertical="center" shrinkToFit="1"/>
    </xf>
    <xf numFmtId="0" fontId="17" fillId="8" borderId="0" xfId="0" applyFont="1" applyFill="1">
      <alignment vertical="center"/>
    </xf>
    <xf numFmtId="0" fontId="17" fillId="0" borderId="0" xfId="0" applyFont="1" applyBorder="1">
      <alignment vertical="center"/>
    </xf>
    <xf numFmtId="0" fontId="17" fillId="0" borderId="83" xfId="0" applyFont="1" applyBorder="1">
      <alignment vertical="center"/>
    </xf>
    <xf numFmtId="38" fontId="5" fillId="0" borderId="0" xfId="0" applyNumberFormat="1" applyFont="1" applyBorder="1" applyAlignment="1">
      <alignment vertical="center" wrapText="1"/>
    </xf>
    <xf numFmtId="0" fontId="17" fillId="8" borderId="0" xfId="0" applyFont="1" applyFill="1" applyAlignment="1">
      <alignment horizontal="center" vertical="center"/>
    </xf>
    <xf numFmtId="38" fontId="17" fillId="8" borderId="0" xfId="0" applyNumberFormat="1" applyFont="1" applyFill="1">
      <alignment vertical="center"/>
    </xf>
    <xf numFmtId="0" fontId="17" fillId="8" borderId="0" xfId="0" applyFont="1" applyFill="1" applyBorder="1">
      <alignment vertical="center"/>
    </xf>
    <xf numFmtId="38" fontId="17" fillId="8" borderId="0" xfId="0" applyNumberFormat="1" applyFont="1" applyFill="1" applyBorder="1">
      <alignment vertical="center"/>
    </xf>
    <xf numFmtId="0" fontId="11" fillId="8" borderId="0" xfId="0" applyFont="1" applyFill="1" applyAlignment="1">
      <alignment horizontal="left" vertical="center"/>
    </xf>
    <xf numFmtId="0" fontId="11" fillId="8" borderId="0" xfId="0" applyFont="1" applyFill="1" applyAlignment="1">
      <alignment horizontal="center" vertical="center"/>
    </xf>
    <xf numFmtId="0" fontId="11" fillId="0" borderId="0" xfId="0" applyFont="1" applyFill="1" applyAlignment="1">
      <alignment horizontal="left" vertical="center"/>
    </xf>
    <xf numFmtId="0" fontId="17" fillId="0" borderId="0" xfId="0" applyFont="1" applyFill="1" applyBorder="1">
      <alignment vertical="center"/>
    </xf>
    <xf numFmtId="0" fontId="17" fillId="0" borderId="82" xfId="0" applyFont="1" applyBorder="1">
      <alignment vertical="center"/>
    </xf>
    <xf numFmtId="0" fontId="11" fillId="0" borderId="0" xfId="0" applyFont="1" applyFill="1" applyAlignment="1">
      <alignment horizontal="center" vertical="center"/>
    </xf>
    <xf numFmtId="0" fontId="11" fillId="0" borderId="0" xfId="0" applyFont="1" applyFill="1">
      <alignment vertical="center"/>
    </xf>
    <xf numFmtId="0" fontId="17" fillId="0" borderId="0" xfId="0" applyFont="1" applyFill="1" applyAlignment="1">
      <alignment horizontal="center" vertical="center"/>
    </xf>
    <xf numFmtId="0" fontId="17" fillId="0" borderId="0" xfId="0" applyFont="1" applyFill="1">
      <alignment vertical="center"/>
    </xf>
    <xf numFmtId="38" fontId="17" fillId="0" borderId="0" xfId="0" applyNumberFormat="1" applyFont="1" applyFill="1">
      <alignment vertical="center"/>
    </xf>
    <xf numFmtId="0" fontId="40" fillId="15" borderId="108" xfId="0" applyFont="1" applyFill="1" applyBorder="1">
      <alignment vertical="center"/>
    </xf>
    <xf numFmtId="0" fontId="40" fillId="15" borderId="109" xfId="0" applyFont="1" applyFill="1" applyBorder="1">
      <alignment vertical="center"/>
    </xf>
    <xf numFmtId="0" fontId="40" fillId="15" borderId="31" xfId="0" applyFont="1" applyFill="1" applyBorder="1">
      <alignment vertical="center"/>
    </xf>
    <xf numFmtId="0" fontId="39" fillId="15" borderId="31" xfId="0" applyFont="1" applyFill="1" applyBorder="1" applyAlignment="1">
      <alignment vertical="center"/>
    </xf>
    <xf numFmtId="0" fontId="17" fillId="6" borderId="111" xfId="0" applyFont="1" applyFill="1" applyBorder="1" applyAlignment="1">
      <alignment vertical="center" shrinkToFit="1"/>
    </xf>
    <xf numFmtId="0" fontId="17" fillId="6" borderId="107" xfId="0" applyFont="1" applyFill="1" applyBorder="1" applyAlignment="1">
      <alignment vertical="center" shrinkToFit="1"/>
    </xf>
    <xf numFmtId="0" fontId="5" fillId="6" borderId="107" xfId="0" applyFont="1" applyFill="1" applyBorder="1" applyAlignment="1">
      <alignment vertical="center" shrinkToFit="1"/>
    </xf>
    <xf numFmtId="38" fontId="5" fillId="6" borderId="112" xfId="0" applyNumberFormat="1" applyFont="1" applyFill="1" applyBorder="1">
      <alignment vertical="center"/>
    </xf>
    <xf numFmtId="38" fontId="5" fillId="6" borderId="112" xfId="0" applyNumberFormat="1" applyFont="1" applyFill="1" applyBorder="1" applyAlignment="1">
      <alignment vertical="center" shrinkToFit="1"/>
    </xf>
    <xf numFmtId="0" fontId="17" fillId="0" borderId="113" xfId="0" applyFont="1" applyBorder="1" applyAlignment="1">
      <alignment vertical="center" shrinkToFit="1"/>
    </xf>
    <xf numFmtId="0" fontId="17" fillId="0" borderId="107" xfId="0" applyFont="1" applyBorder="1" applyAlignment="1">
      <alignment vertical="center" shrinkToFit="1"/>
    </xf>
    <xf numFmtId="0" fontId="5" fillId="0" borderId="107" xfId="0" applyFont="1" applyBorder="1" applyAlignment="1">
      <alignment vertical="center" shrinkToFit="1"/>
    </xf>
    <xf numFmtId="38" fontId="5" fillId="0" borderId="112" xfId="0" applyNumberFormat="1" applyFont="1" applyBorder="1">
      <alignment vertical="center"/>
    </xf>
    <xf numFmtId="38" fontId="5" fillId="0" borderId="107" xfId="0" applyNumberFormat="1" applyFont="1" applyBorder="1" applyAlignment="1">
      <alignment vertical="center" shrinkToFit="1"/>
    </xf>
    <xf numFmtId="38" fontId="5" fillId="6" borderId="107" xfId="0" applyNumberFormat="1" applyFont="1" applyFill="1" applyBorder="1" applyAlignment="1">
      <alignment vertical="center" shrinkToFit="1"/>
    </xf>
    <xf numFmtId="0" fontId="11" fillId="0" borderId="112" xfId="0" applyFont="1" applyBorder="1">
      <alignment vertical="center"/>
    </xf>
    <xf numFmtId="0" fontId="5" fillId="6" borderId="114" xfId="0" applyFont="1" applyFill="1" applyBorder="1">
      <alignment vertical="center"/>
    </xf>
    <xf numFmtId="0" fontId="5" fillId="0" borderId="108" xfId="0" applyFont="1" applyBorder="1" applyAlignment="1">
      <alignment vertical="center" shrinkToFit="1"/>
    </xf>
    <xf numFmtId="0" fontId="5" fillId="0" borderId="115" xfId="0" applyFont="1" applyBorder="1" applyAlignment="1">
      <alignment vertical="center" shrinkToFit="1"/>
    </xf>
    <xf numFmtId="0" fontId="17" fillId="0" borderId="99" xfId="0" applyFont="1" applyBorder="1">
      <alignment vertical="center"/>
    </xf>
    <xf numFmtId="0" fontId="17" fillId="0" borderId="55" xfId="0" applyFont="1" applyFill="1" applyBorder="1">
      <alignment vertical="center"/>
    </xf>
    <xf numFmtId="38" fontId="17" fillId="0" borderId="83" xfId="0" applyNumberFormat="1" applyFont="1" applyBorder="1">
      <alignment vertical="center"/>
    </xf>
    <xf numFmtId="38" fontId="17" fillId="0" borderId="99" xfId="0" applyNumberFormat="1" applyFont="1" applyBorder="1">
      <alignment vertical="center"/>
    </xf>
    <xf numFmtId="38" fontId="17" fillId="6" borderId="31" xfId="0" applyNumberFormat="1" applyFont="1" applyFill="1" applyBorder="1">
      <alignment vertical="center"/>
    </xf>
    <xf numFmtId="0" fontId="17" fillId="6" borderId="31" xfId="0" applyFont="1" applyFill="1" applyBorder="1">
      <alignment vertical="center"/>
    </xf>
    <xf numFmtId="38" fontId="17" fillId="6" borderId="110" xfId="0" applyNumberFormat="1" applyFont="1" applyFill="1" applyBorder="1">
      <alignment vertical="center"/>
    </xf>
    <xf numFmtId="38" fontId="17" fillId="0" borderId="31" xfId="0" applyNumberFormat="1" applyFont="1" applyBorder="1">
      <alignment vertical="center"/>
    </xf>
    <xf numFmtId="0" fontId="17" fillId="0" borderId="31" xfId="0" applyFont="1" applyBorder="1">
      <alignment vertical="center"/>
    </xf>
    <xf numFmtId="0" fontId="34" fillId="0" borderId="0" xfId="0" applyFont="1" applyFill="1" applyAlignment="1">
      <alignment vertical="top" wrapText="1"/>
    </xf>
    <xf numFmtId="0" fontId="5" fillId="0" borderId="55" xfId="0" applyFont="1" applyFill="1" applyBorder="1" applyAlignment="1">
      <alignment vertical="center" shrinkToFit="1"/>
    </xf>
    <xf numFmtId="0" fontId="17" fillId="6" borderId="88" xfId="0" applyFont="1" applyFill="1" applyBorder="1">
      <alignment vertical="center"/>
    </xf>
    <xf numFmtId="0" fontId="17" fillId="0" borderId="88" xfId="0" applyFont="1" applyBorder="1">
      <alignment vertical="center"/>
    </xf>
    <xf numFmtId="0" fontId="41" fillId="0" borderId="0" xfId="0" applyFont="1">
      <alignment vertical="center"/>
    </xf>
    <xf numFmtId="0" fontId="39" fillId="15" borderId="110" xfId="0" applyFont="1" applyFill="1" applyBorder="1">
      <alignment vertical="center"/>
    </xf>
    <xf numFmtId="0" fontId="17" fillId="6" borderId="110" xfId="0" applyFont="1" applyFill="1" applyBorder="1">
      <alignment vertical="center"/>
    </xf>
    <xf numFmtId="0" fontId="17" fillId="0" borderId="110" xfId="0" applyFont="1" applyBorder="1">
      <alignment vertical="center"/>
    </xf>
    <xf numFmtId="0" fontId="17" fillId="0" borderId="0" xfId="0" applyFont="1" applyFill="1" applyAlignment="1">
      <alignment vertical="center"/>
    </xf>
    <xf numFmtId="38" fontId="17" fillId="0" borderId="0" xfId="0" applyNumberFormat="1" applyFont="1" applyFill="1" applyBorder="1">
      <alignment vertical="center"/>
    </xf>
    <xf numFmtId="0" fontId="17" fillId="0" borderId="0" xfId="0" applyFont="1" applyFill="1" applyAlignment="1">
      <alignment horizontal="left" vertical="center"/>
    </xf>
    <xf numFmtId="0" fontId="32" fillId="0" borderId="30" xfId="0" applyFont="1" applyFill="1" applyBorder="1">
      <alignment vertical="center"/>
    </xf>
    <xf numFmtId="0" fontId="42" fillId="0" borderId="0" xfId="0" applyFont="1" applyFill="1" applyAlignment="1">
      <alignment horizontal="left" vertical="center"/>
    </xf>
    <xf numFmtId="38" fontId="0" fillId="0" borderId="0" xfId="0" applyNumberFormat="1" applyFill="1">
      <alignment vertical="center"/>
    </xf>
    <xf numFmtId="0" fontId="0" fillId="0" borderId="0" xfId="0" applyFill="1" applyAlignment="1">
      <alignment horizontal="left" vertical="center"/>
    </xf>
    <xf numFmtId="0" fontId="17" fillId="0" borderId="0" xfId="0" applyFont="1" applyFill="1" applyBorder="1" applyAlignment="1">
      <alignment horizontal="left" vertical="center"/>
    </xf>
    <xf numFmtId="38" fontId="17" fillId="6" borderId="83" xfId="0" applyNumberFormat="1" applyFont="1" applyFill="1" applyBorder="1">
      <alignment vertical="center"/>
    </xf>
    <xf numFmtId="0" fontId="16" fillId="0" borderId="5" xfId="0" applyFont="1" applyBorder="1" applyAlignment="1">
      <alignment vertical="center" shrinkToFit="1"/>
    </xf>
    <xf numFmtId="0" fontId="16" fillId="0" borderId="29" xfId="0" applyFont="1" applyBorder="1" applyAlignment="1">
      <alignment horizontal="left" vertical="center" shrinkToFit="1"/>
    </xf>
    <xf numFmtId="0" fontId="16" fillId="0" borderId="5" xfId="0" applyFont="1" applyBorder="1" applyAlignment="1">
      <alignment horizontal="left" vertical="center" shrinkToFit="1"/>
    </xf>
    <xf numFmtId="0" fontId="16" fillId="0" borderId="6" xfId="0" applyFont="1" applyBorder="1" applyAlignment="1">
      <alignment horizontal="left" vertical="center" shrinkToFit="1"/>
    </xf>
    <xf numFmtId="0" fontId="16" fillId="0" borderId="29" xfId="0" applyFont="1" applyBorder="1" applyAlignment="1">
      <alignment vertical="center" shrinkToFit="1"/>
    </xf>
    <xf numFmtId="0" fontId="16" fillId="0" borderId="45" xfId="0" applyFont="1" applyBorder="1" applyAlignment="1">
      <alignment horizontal="left" vertical="center" wrapText="1" indent="1"/>
    </xf>
    <xf numFmtId="0" fontId="9" fillId="0" borderId="5" xfId="0" applyFont="1" applyBorder="1" applyAlignment="1">
      <alignment vertical="center" wrapText="1"/>
    </xf>
    <xf numFmtId="0" fontId="16" fillId="0" borderId="74" xfId="0" applyFont="1" applyBorder="1" applyAlignment="1">
      <alignment horizontal="left" vertical="center" wrapText="1" indent="1"/>
    </xf>
    <xf numFmtId="0" fontId="16" fillId="0" borderId="75" xfId="0" applyFont="1" applyBorder="1" applyAlignment="1">
      <alignment horizontal="left" vertical="center" wrapText="1" indent="1"/>
    </xf>
    <xf numFmtId="176" fontId="13" fillId="0" borderId="116" xfId="0" applyNumberFormat="1" applyFont="1" applyBorder="1" applyAlignment="1">
      <alignment vertical="center" shrinkToFit="1"/>
    </xf>
    <xf numFmtId="0" fontId="21" fillId="15" borderId="110" xfId="0" applyFont="1" applyFill="1" applyBorder="1" applyAlignment="1">
      <alignment horizontal="center" vertical="center"/>
    </xf>
    <xf numFmtId="0" fontId="40" fillId="15" borderId="110" xfId="0" applyFont="1" applyFill="1" applyBorder="1">
      <alignment vertical="center"/>
    </xf>
    <xf numFmtId="0" fontId="5" fillId="6" borderId="84" xfId="0" applyFont="1" applyFill="1" applyBorder="1" applyAlignment="1">
      <alignment vertical="center" shrinkToFit="1"/>
    </xf>
    <xf numFmtId="0" fontId="5" fillId="6" borderId="117" xfId="0" applyFont="1" applyFill="1" applyBorder="1">
      <alignment vertical="center"/>
    </xf>
    <xf numFmtId="0" fontId="5" fillId="6" borderId="0" xfId="0" applyFont="1" applyFill="1" applyBorder="1">
      <alignment vertical="center"/>
    </xf>
    <xf numFmtId="0" fontId="5" fillId="6" borderId="118" xfId="0" applyFont="1" applyFill="1" applyBorder="1">
      <alignment vertical="center"/>
    </xf>
    <xf numFmtId="0" fontId="5" fillId="6" borderId="0" xfId="0" applyFont="1" applyFill="1">
      <alignment vertical="center"/>
    </xf>
    <xf numFmtId="0" fontId="17" fillId="0" borderId="101" xfId="0" applyFont="1" applyFill="1" applyBorder="1">
      <alignment vertical="center"/>
    </xf>
    <xf numFmtId="0" fontId="17" fillId="0" borderId="87" xfId="0" applyFont="1" applyFill="1" applyBorder="1">
      <alignment vertical="center"/>
    </xf>
    <xf numFmtId="0" fontId="5" fillId="0" borderId="84" xfId="0" applyFont="1" applyFill="1" applyBorder="1" applyAlignment="1">
      <alignment vertical="center" shrinkToFit="1"/>
    </xf>
    <xf numFmtId="0" fontId="5" fillId="0" borderId="119" xfId="0" applyFont="1" applyFill="1" applyBorder="1" applyAlignment="1">
      <alignment vertical="center" shrinkToFit="1"/>
    </xf>
    <xf numFmtId="0" fontId="11" fillId="0" borderId="87" xfId="0" applyFont="1" applyFill="1" applyBorder="1" applyAlignment="1">
      <alignment horizontal="right" vertical="center"/>
    </xf>
    <xf numFmtId="0" fontId="17" fillId="8" borderId="31" xfId="0" applyFont="1" applyFill="1" applyBorder="1">
      <alignment vertical="center"/>
    </xf>
    <xf numFmtId="0" fontId="5" fillId="6" borderId="112" xfId="0" applyFont="1" applyFill="1" applyBorder="1">
      <alignment vertical="center"/>
    </xf>
    <xf numFmtId="0" fontId="5" fillId="0" borderId="112" xfId="0" applyFont="1" applyBorder="1">
      <alignment vertical="center"/>
    </xf>
    <xf numFmtId="0" fontId="5" fillId="6" borderId="31" xfId="0" applyFont="1" applyFill="1" applyBorder="1">
      <alignment vertical="center"/>
    </xf>
    <xf numFmtId="0" fontId="17" fillId="6" borderId="31" xfId="0" applyFont="1" applyFill="1" applyBorder="1" applyAlignment="1">
      <alignment vertical="center"/>
    </xf>
    <xf numFmtId="0" fontId="17" fillId="0" borderId="31" xfId="0" applyFont="1" applyBorder="1" applyAlignment="1">
      <alignment vertical="center"/>
    </xf>
    <xf numFmtId="0" fontId="39" fillId="15" borderId="0" xfId="0" applyFont="1" applyFill="1" applyBorder="1" applyAlignment="1">
      <alignment vertical="center"/>
    </xf>
    <xf numFmtId="0" fontId="39" fillId="15" borderId="0" xfId="0" applyFont="1" applyFill="1" applyBorder="1">
      <alignment vertical="center"/>
    </xf>
    <xf numFmtId="38" fontId="17" fillId="6" borderId="88" xfId="0" applyNumberFormat="1" applyFont="1" applyFill="1" applyBorder="1">
      <alignment vertical="center"/>
    </xf>
    <xf numFmtId="0" fontId="39" fillId="15" borderId="117" xfId="0" applyFont="1" applyFill="1" applyBorder="1">
      <alignment vertical="center"/>
    </xf>
    <xf numFmtId="0" fontId="39" fillId="15" borderId="0" xfId="0" applyFont="1" applyFill="1" applyBorder="1" applyAlignment="1">
      <alignment horizontal="left" vertical="center"/>
    </xf>
    <xf numFmtId="0" fontId="21" fillId="15" borderId="118" xfId="0" applyFont="1" applyFill="1" applyBorder="1">
      <alignment vertical="center"/>
    </xf>
    <xf numFmtId="0" fontId="17" fillId="6" borderId="83" xfId="0" applyFont="1" applyFill="1" applyBorder="1" applyAlignment="1">
      <alignment horizontal="left" vertical="center"/>
    </xf>
    <xf numFmtId="0" fontId="17" fillId="0" borderId="83" xfId="0" applyFont="1" applyBorder="1" applyAlignment="1">
      <alignment horizontal="left" vertical="center"/>
    </xf>
    <xf numFmtId="0" fontId="39" fillId="15" borderId="30" xfId="0" applyFont="1" applyFill="1" applyBorder="1">
      <alignment vertical="center"/>
    </xf>
    <xf numFmtId="0" fontId="17" fillId="6" borderId="31" xfId="0" applyFont="1" applyFill="1" applyBorder="1" applyAlignment="1">
      <alignment horizontal="left" vertical="center"/>
    </xf>
    <xf numFmtId="0" fontId="46" fillId="0" borderId="0" xfId="0" applyFont="1" applyAlignment="1">
      <alignment horizontal="distributed" vertical="center" wrapText="1"/>
    </xf>
    <xf numFmtId="0" fontId="13" fillId="0" borderId="0" xfId="0" applyFont="1" applyAlignment="1">
      <alignment horizontal="left" vertical="center" wrapText="1"/>
    </xf>
    <xf numFmtId="38" fontId="17" fillId="3" borderId="87" xfId="7" applyFont="1" applyFill="1" applyBorder="1" applyAlignment="1">
      <alignment horizontal="right" vertical="center"/>
    </xf>
    <xf numFmtId="0" fontId="5" fillId="0" borderId="101" xfId="0" applyFont="1" applyBorder="1">
      <alignment vertical="center"/>
    </xf>
    <xf numFmtId="0" fontId="5" fillId="0" borderId="84" xfId="0" applyFont="1" applyBorder="1">
      <alignment vertical="center"/>
    </xf>
    <xf numFmtId="176" fontId="5" fillId="0" borderId="101" xfId="0" applyNumberFormat="1" applyFont="1" applyBorder="1">
      <alignment vertical="center"/>
    </xf>
    <xf numFmtId="176" fontId="5" fillId="0" borderId="84" xfId="0" applyNumberFormat="1" applyFont="1" applyBorder="1">
      <alignment vertical="center"/>
    </xf>
    <xf numFmtId="0" fontId="11" fillId="3" borderId="87" xfId="0" applyFont="1" applyFill="1" applyBorder="1" applyAlignment="1">
      <alignment horizontal="center" vertical="center"/>
    </xf>
    <xf numFmtId="0" fontId="17" fillId="8" borderId="87" xfId="0" applyFont="1" applyFill="1" applyBorder="1" applyAlignment="1">
      <alignment horizontal="center" vertical="center"/>
    </xf>
    <xf numFmtId="0" fontId="17" fillId="0" borderId="87" xfId="0" applyFont="1" applyFill="1" applyBorder="1" applyAlignment="1">
      <alignment horizontal="right" vertical="center"/>
    </xf>
    <xf numFmtId="0" fontId="40" fillId="15" borderId="87" xfId="0" applyFont="1" applyFill="1" applyBorder="1">
      <alignment vertical="center"/>
    </xf>
    <xf numFmtId="0" fontId="17" fillId="6" borderId="102" xfId="0" applyFont="1" applyFill="1" applyBorder="1" applyAlignment="1">
      <alignment vertical="center" shrinkToFit="1"/>
    </xf>
    <xf numFmtId="0" fontId="40" fillId="15" borderId="0" xfId="0" applyFont="1" applyFill="1" applyBorder="1">
      <alignment vertical="center"/>
    </xf>
    <xf numFmtId="0" fontId="17" fillId="6" borderId="0" xfId="0" applyFont="1" applyFill="1" applyBorder="1" applyAlignment="1">
      <alignment vertical="center"/>
    </xf>
    <xf numFmtId="0" fontId="39" fillId="15" borderId="87" xfId="0" applyFont="1" applyFill="1" applyBorder="1" applyAlignment="1">
      <alignment vertical="center"/>
    </xf>
    <xf numFmtId="0" fontId="17" fillId="6" borderId="0" xfId="0" applyFont="1" applyFill="1" applyBorder="1">
      <alignment vertical="center"/>
    </xf>
    <xf numFmtId="0" fontId="17" fillId="6" borderId="117" xfId="0" applyFont="1" applyFill="1" applyBorder="1">
      <alignment vertical="center"/>
    </xf>
    <xf numFmtId="0" fontId="39" fillId="15" borderId="87" xfId="0" applyFont="1" applyFill="1" applyBorder="1" applyAlignment="1">
      <alignment horizontal="center" vertical="center"/>
    </xf>
    <xf numFmtId="0" fontId="39" fillId="15" borderId="87" xfId="0" applyFont="1" applyFill="1" applyBorder="1" applyAlignment="1">
      <alignment horizontal="right" vertical="center"/>
    </xf>
    <xf numFmtId="0" fontId="14" fillId="5" borderId="6" xfId="0" applyFont="1" applyFill="1" applyBorder="1" applyAlignment="1">
      <alignment horizontal="center" vertical="center"/>
    </xf>
    <xf numFmtId="0" fontId="14" fillId="5" borderId="7" xfId="0" applyFont="1" applyFill="1" applyBorder="1" applyAlignment="1">
      <alignment horizontal="center" vertical="center"/>
    </xf>
    <xf numFmtId="0" fontId="17" fillId="6" borderId="30" xfId="0" applyFont="1" applyFill="1" applyBorder="1" applyAlignment="1">
      <alignment horizontal="left" vertical="center"/>
    </xf>
    <xf numFmtId="0" fontId="15" fillId="0" borderId="106" xfId="0" applyFont="1" applyBorder="1" applyAlignment="1">
      <alignment vertical="center" shrinkToFit="1"/>
    </xf>
    <xf numFmtId="0" fontId="16" fillId="0" borderId="116" xfId="0" applyFont="1" applyBorder="1" applyAlignment="1">
      <alignment horizontal="left" vertical="center" shrinkToFit="1"/>
    </xf>
    <xf numFmtId="0" fontId="16" fillId="0" borderId="116" xfId="0" applyFont="1" applyBorder="1" applyAlignment="1">
      <alignment vertical="center" shrinkToFit="1"/>
    </xf>
    <xf numFmtId="0" fontId="15" fillId="0" borderId="106" xfId="0" applyFont="1" applyFill="1" applyBorder="1" applyAlignment="1">
      <alignment vertical="center" shrinkToFit="1"/>
    </xf>
    <xf numFmtId="0" fontId="8" fillId="0" borderId="0" xfId="0" applyFont="1" applyAlignment="1">
      <alignment vertical="center"/>
    </xf>
    <xf numFmtId="0" fontId="0" fillId="0" borderId="0" xfId="0" applyAlignment="1">
      <alignment vertical="center"/>
    </xf>
    <xf numFmtId="0" fontId="10" fillId="0" borderId="0" xfId="0" applyFont="1" applyAlignment="1">
      <alignment vertical="center"/>
    </xf>
    <xf numFmtId="0" fontId="10" fillId="0" borderId="5" xfId="0" applyFont="1" applyFill="1" applyBorder="1" applyAlignment="1">
      <alignment horizontal="center" vertical="center"/>
    </xf>
    <xf numFmtId="0" fontId="9" fillId="0" borderId="0" xfId="0" applyFont="1" applyFill="1" applyAlignment="1">
      <alignment vertical="center"/>
    </xf>
    <xf numFmtId="0" fontId="10" fillId="0" borderId="5" xfId="0" applyFont="1" applyFill="1" applyBorder="1" applyAlignment="1">
      <alignment vertical="center"/>
    </xf>
    <xf numFmtId="0" fontId="10" fillId="0" borderId="5" xfId="0" applyFont="1" applyFill="1" applyBorder="1" applyAlignment="1">
      <alignment horizontal="center" vertical="center" shrinkToFit="1"/>
    </xf>
    <xf numFmtId="0" fontId="8" fillId="20" borderId="120"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9" fillId="0" borderId="5" xfId="0" applyFont="1" applyFill="1" applyBorder="1" applyAlignment="1">
      <alignment horizontal="left" vertical="center"/>
    </xf>
    <xf numFmtId="186" fontId="9" fillId="0" borderId="5" xfId="7" applyNumberFormat="1" applyFont="1" applyFill="1" applyBorder="1" applyAlignment="1">
      <alignment vertical="center"/>
    </xf>
    <xf numFmtId="0" fontId="9" fillId="0" borderId="5" xfId="0" applyFont="1" applyFill="1" applyBorder="1" applyAlignment="1">
      <alignment vertical="center"/>
    </xf>
    <xf numFmtId="185" fontId="9" fillId="0" borderId="5" xfId="0" applyNumberFormat="1" applyFont="1" applyFill="1" applyBorder="1" applyAlignment="1">
      <alignment vertical="center"/>
    </xf>
    <xf numFmtId="0" fontId="5" fillId="0" borderId="29" xfId="0" applyFont="1" applyBorder="1" applyAlignment="1">
      <alignment vertical="center" shrinkToFit="1"/>
    </xf>
    <xf numFmtId="186" fontId="5" fillId="0" borderId="29" xfId="0" applyNumberFormat="1" applyFont="1" applyBorder="1" applyAlignment="1">
      <alignment vertical="center" shrinkToFit="1"/>
    </xf>
    <xf numFmtId="186" fontId="5" fillId="0" borderId="5" xfId="0" applyNumberFormat="1" applyFont="1" applyBorder="1" applyAlignment="1">
      <alignment vertical="center" shrinkToFit="1"/>
    </xf>
    <xf numFmtId="186" fontId="5" fillId="0" borderId="5" xfId="1" applyNumberFormat="1" applyFont="1" applyFill="1" applyBorder="1" applyAlignment="1">
      <alignment horizontal="right" vertical="center" shrinkToFit="1"/>
    </xf>
    <xf numFmtId="186" fontId="5" fillId="0" borderId="6" xfId="1" applyNumberFormat="1" applyFont="1" applyFill="1" applyBorder="1" applyAlignment="1">
      <alignment horizontal="right" vertical="center" shrinkToFit="1"/>
    </xf>
    <xf numFmtId="0" fontId="5" fillId="0" borderId="120" xfId="0" applyFont="1" applyBorder="1" applyAlignment="1">
      <alignment vertical="center" shrinkToFit="1"/>
    </xf>
    <xf numFmtId="186" fontId="5" fillId="0" borderId="120" xfId="0" applyNumberFormat="1" applyFont="1" applyBorder="1" applyAlignment="1">
      <alignment vertical="center" shrinkToFit="1"/>
    </xf>
    <xf numFmtId="0" fontId="8" fillId="2" borderId="122" xfId="0" applyFont="1" applyFill="1" applyBorder="1" applyAlignment="1">
      <alignment horizontal="left" vertical="center"/>
    </xf>
    <xf numFmtId="0" fontId="8" fillId="2" borderId="123" xfId="0" applyFont="1" applyFill="1" applyBorder="1" applyAlignment="1">
      <alignment horizontal="left" vertical="center"/>
    </xf>
    <xf numFmtId="186" fontId="8" fillId="2" borderId="124" xfId="1" applyNumberFormat="1" applyFont="1" applyFill="1" applyBorder="1" applyAlignment="1">
      <alignment horizontal="right" vertical="center" shrinkToFit="1"/>
    </xf>
    <xf numFmtId="0" fontId="8" fillId="20" borderId="7" xfId="0" applyFont="1" applyFill="1" applyBorder="1" applyAlignment="1">
      <alignment vertical="center" shrinkToFit="1"/>
    </xf>
    <xf numFmtId="186" fontId="5" fillId="20" borderId="7" xfId="0" applyNumberFormat="1" applyFont="1" applyFill="1" applyBorder="1" applyAlignment="1">
      <alignment vertical="center" shrinkToFit="1"/>
    </xf>
    <xf numFmtId="176" fontId="5" fillId="0" borderId="0" xfId="0" applyNumberFormat="1" applyFont="1" applyBorder="1" applyAlignment="1">
      <alignment vertical="center"/>
    </xf>
    <xf numFmtId="177" fontId="5" fillId="0" borderId="0" xfId="1" applyNumberFormat="1" applyFont="1" applyFill="1" applyBorder="1" applyAlignment="1">
      <alignment horizontal="right" vertical="center"/>
    </xf>
    <xf numFmtId="0" fontId="25" fillId="0" borderId="0" xfId="0" applyFont="1" applyAlignment="1">
      <alignment vertical="center"/>
    </xf>
    <xf numFmtId="0" fontId="5" fillId="0" borderId="124" xfId="0" applyFont="1" applyBorder="1" applyAlignment="1">
      <alignment vertical="center" shrinkToFit="1"/>
    </xf>
    <xf numFmtId="186" fontId="5" fillId="0" borderId="124" xfId="0" applyNumberFormat="1" applyFont="1" applyBorder="1" applyAlignment="1">
      <alignment vertical="center"/>
    </xf>
    <xf numFmtId="186" fontId="5" fillId="0" borderId="5" xfId="0" applyNumberFormat="1" applyFont="1" applyBorder="1" applyAlignment="1">
      <alignment vertical="center"/>
    </xf>
    <xf numFmtId="0" fontId="8" fillId="20" borderId="6" xfId="0" applyFont="1" applyFill="1" applyBorder="1" applyAlignment="1">
      <alignment vertical="center" shrinkToFit="1"/>
    </xf>
    <xf numFmtId="0" fontId="8" fillId="20" borderId="6" xfId="0" applyFont="1" applyFill="1" applyBorder="1" applyAlignment="1">
      <alignment horizontal="center" vertical="center" shrinkToFit="1"/>
    </xf>
    <xf numFmtId="186" fontId="5" fillId="0" borderId="5" xfId="0" applyNumberFormat="1" applyFont="1" applyBorder="1" applyAlignment="1">
      <alignment horizontal="right" vertical="center"/>
    </xf>
    <xf numFmtId="0" fontId="5" fillId="0" borderId="67" xfId="0" applyFont="1" applyBorder="1" applyAlignment="1">
      <alignment vertical="center" shrinkToFit="1"/>
    </xf>
    <xf numFmtId="0" fontId="5" fillId="0" borderId="71" xfId="0" applyFont="1" applyBorder="1" applyAlignment="1">
      <alignment horizontal="left" vertical="center" shrinkToFit="1"/>
    </xf>
    <xf numFmtId="187" fontId="5" fillId="0" borderId="10" xfId="0" applyNumberFormat="1" applyFont="1" applyBorder="1" applyAlignment="1">
      <alignment vertical="center"/>
    </xf>
    <xf numFmtId="0" fontId="5" fillId="0" borderId="72" xfId="0" applyFont="1" applyBorder="1" applyAlignment="1">
      <alignment horizontal="left" vertical="center" shrinkToFit="1"/>
    </xf>
    <xf numFmtId="0" fontId="5" fillId="0" borderId="68" xfId="0" applyFont="1" applyBorder="1" applyAlignment="1">
      <alignment vertical="center" shrinkToFit="1"/>
    </xf>
    <xf numFmtId="0" fontId="5" fillId="0" borderId="73" xfId="0" applyFont="1" applyBorder="1" applyAlignment="1">
      <alignment horizontal="left" vertical="center" shrinkToFit="1"/>
    </xf>
    <xf numFmtId="186" fontId="5" fillId="0" borderId="120" xfId="0" applyNumberFormat="1" applyFont="1" applyBorder="1" applyAlignment="1">
      <alignment vertical="center"/>
    </xf>
    <xf numFmtId="186" fontId="5" fillId="0" borderId="5" xfId="1" applyNumberFormat="1" applyFont="1" applyFill="1" applyBorder="1" applyAlignment="1">
      <alignment horizontal="right" vertical="center"/>
    </xf>
    <xf numFmtId="0" fontId="26" fillId="0" borderId="5" xfId="0" applyFont="1" applyFill="1" applyBorder="1" applyAlignment="1">
      <alignment horizontal="center" vertical="center"/>
    </xf>
    <xf numFmtId="0" fontId="8" fillId="20" borderId="29" xfId="0" applyFont="1" applyFill="1" applyBorder="1" applyAlignment="1">
      <alignment vertical="center" shrinkToFit="1"/>
    </xf>
    <xf numFmtId="186" fontId="5" fillId="20" borderId="29" xfId="0" applyNumberFormat="1" applyFont="1" applyFill="1" applyBorder="1" applyAlignment="1">
      <alignment vertical="center" shrinkToFit="1"/>
    </xf>
    <xf numFmtId="188" fontId="5" fillId="0" borderId="0" xfId="0" applyNumberFormat="1" applyFont="1" applyBorder="1" applyAlignment="1">
      <alignment vertical="center" shrinkToFit="1"/>
    </xf>
    <xf numFmtId="186" fontId="5" fillId="0" borderId="124" xfId="0" applyNumberFormat="1" applyFont="1" applyBorder="1" applyAlignment="1">
      <alignment vertical="center" shrinkToFit="1"/>
    </xf>
    <xf numFmtId="186" fontId="9" fillId="0" borderId="5" xfId="7" applyNumberFormat="1" applyFont="1" applyFill="1" applyBorder="1" applyAlignment="1">
      <alignment vertical="center" shrinkToFit="1"/>
    </xf>
    <xf numFmtId="186" fontId="8" fillId="20" borderId="29" xfId="0" applyNumberFormat="1" applyFont="1" applyFill="1" applyBorder="1" applyAlignment="1">
      <alignment vertical="center" shrinkToFit="1"/>
    </xf>
    <xf numFmtId="9" fontId="8" fillId="20" borderId="29" xfId="1" applyFont="1" applyFill="1" applyBorder="1" applyAlignment="1">
      <alignment horizontal="right" vertical="center" shrinkToFit="1"/>
    </xf>
    <xf numFmtId="0" fontId="8" fillId="2" borderId="44" xfId="0" applyFont="1" applyFill="1" applyBorder="1" applyAlignment="1">
      <alignment horizontal="left" vertical="center"/>
    </xf>
    <xf numFmtId="0" fontId="8" fillId="2" borderId="3" xfId="0" applyFont="1" applyFill="1" applyBorder="1" applyAlignment="1">
      <alignment horizontal="left" vertical="center"/>
    </xf>
    <xf numFmtId="186" fontId="8" fillId="2" borderId="29" xfId="0" applyNumberFormat="1" applyFont="1" applyFill="1" applyBorder="1" applyAlignment="1">
      <alignment horizontal="right" vertical="center"/>
    </xf>
    <xf numFmtId="186" fontId="8" fillId="2" borderId="29" xfId="1" applyNumberFormat="1" applyFont="1" applyFill="1" applyBorder="1" applyAlignment="1">
      <alignment horizontal="right" vertical="center"/>
    </xf>
    <xf numFmtId="0" fontId="9" fillId="0" borderId="5" xfId="0" applyFont="1" applyFill="1" applyBorder="1" applyAlignment="1">
      <alignment horizontal="center" vertical="center"/>
    </xf>
    <xf numFmtId="0" fontId="10" fillId="0" borderId="120" xfId="0" applyFont="1" applyFill="1" applyBorder="1" applyAlignment="1">
      <alignment horizontal="center" vertical="center" shrinkToFit="1"/>
    </xf>
    <xf numFmtId="0" fontId="9" fillId="0" borderId="5" xfId="0" applyFont="1" applyFill="1" applyBorder="1" applyAlignment="1">
      <alignment vertical="center" shrinkToFit="1"/>
    </xf>
    <xf numFmtId="0" fontId="9" fillId="0" borderId="124" xfId="0" applyFont="1" applyFill="1" applyBorder="1" applyAlignment="1">
      <alignment vertical="center" shrinkToFit="1"/>
    </xf>
    <xf numFmtId="186" fontId="9" fillId="0" borderId="124" xfId="0" applyNumberFormat="1" applyFont="1" applyFill="1" applyBorder="1" applyAlignment="1">
      <alignment vertical="center" shrinkToFit="1"/>
    </xf>
    <xf numFmtId="9" fontId="9" fillId="0" borderId="124" xfId="0" applyNumberFormat="1" applyFont="1" applyFill="1" applyBorder="1" applyAlignment="1">
      <alignment horizontal="center" vertical="center" shrinkToFit="1"/>
    </xf>
    <xf numFmtId="0" fontId="9" fillId="0" borderId="5" xfId="0" applyFont="1" applyFill="1" applyBorder="1" applyAlignment="1">
      <alignment horizontal="left" vertical="center" shrinkToFit="1"/>
    </xf>
    <xf numFmtId="186" fontId="9" fillId="0" borderId="5" xfId="0" applyNumberFormat="1" applyFont="1" applyFill="1" applyBorder="1" applyAlignment="1">
      <alignment vertical="center" shrinkToFit="1"/>
    </xf>
    <xf numFmtId="9" fontId="9" fillId="0" borderId="5" xfId="0" applyNumberFormat="1" applyFont="1" applyFill="1" applyBorder="1" applyAlignment="1">
      <alignment horizontal="center" vertical="center" shrinkToFit="1"/>
    </xf>
    <xf numFmtId="0" fontId="9" fillId="0" borderId="120" xfId="0" applyFont="1" applyFill="1" applyBorder="1" applyAlignment="1">
      <alignment vertical="center" shrinkToFit="1"/>
    </xf>
    <xf numFmtId="186" fontId="9" fillId="0" borderId="120" xfId="0" applyNumberFormat="1" applyFont="1" applyFill="1" applyBorder="1" applyAlignment="1">
      <alignment vertical="center" shrinkToFit="1"/>
    </xf>
    <xf numFmtId="9" fontId="9" fillId="0" borderId="120" xfId="0" applyNumberFormat="1" applyFont="1" applyFill="1" applyBorder="1" applyAlignment="1">
      <alignment horizontal="center" vertical="center" shrinkToFit="1"/>
    </xf>
    <xf numFmtId="0" fontId="10" fillId="0" borderId="29" xfId="0" applyFont="1" applyFill="1" applyBorder="1" applyAlignment="1">
      <alignment vertical="center" shrinkToFit="1"/>
    </xf>
    <xf numFmtId="9" fontId="9" fillId="0" borderId="124" xfId="0" applyNumberFormat="1" applyFont="1" applyFill="1" applyBorder="1" applyAlignment="1">
      <alignment vertical="center" shrinkToFit="1"/>
    </xf>
    <xf numFmtId="0" fontId="8" fillId="21" borderId="120" xfId="0" applyFont="1" applyFill="1" applyBorder="1" applyAlignment="1">
      <alignment horizontal="center" vertical="center" shrinkToFit="1"/>
    </xf>
    <xf numFmtId="0" fontId="8" fillId="22" borderId="5" xfId="0" applyFont="1" applyFill="1" applyBorder="1" applyAlignment="1">
      <alignment horizontal="center" vertical="center" shrinkToFit="1"/>
    </xf>
    <xf numFmtId="0" fontId="8" fillId="22" borderId="122" xfId="0" applyFont="1" applyFill="1" applyBorder="1" applyAlignment="1">
      <alignment horizontal="left" vertical="center"/>
    </xf>
    <xf numFmtId="0" fontId="8" fillId="22" borderId="123" xfId="0" applyFont="1" applyFill="1" applyBorder="1" applyAlignment="1">
      <alignment horizontal="left" vertical="center"/>
    </xf>
    <xf numFmtId="186" fontId="8" fillId="22" borderId="124" xfId="1" applyNumberFormat="1" applyFont="1" applyFill="1" applyBorder="1" applyAlignment="1">
      <alignment horizontal="right" vertical="center" shrinkToFit="1"/>
    </xf>
    <xf numFmtId="0" fontId="8" fillId="21" borderId="7" xfId="0" applyFont="1" applyFill="1" applyBorder="1" applyAlignment="1">
      <alignment vertical="center" shrinkToFit="1"/>
    </xf>
    <xf numFmtId="186" fontId="5" fillId="21" borderId="7" xfId="0" applyNumberFormat="1" applyFont="1" applyFill="1" applyBorder="1" applyAlignment="1">
      <alignment vertical="center" shrinkToFit="1"/>
    </xf>
    <xf numFmtId="0" fontId="8" fillId="21" borderId="29" xfId="0" applyFont="1" applyFill="1" applyBorder="1" applyAlignment="1">
      <alignment vertical="center" shrinkToFit="1"/>
    </xf>
    <xf numFmtId="186" fontId="8" fillId="21" borderId="29" xfId="0" applyNumberFormat="1" applyFont="1" applyFill="1" applyBorder="1" applyAlignment="1">
      <alignment vertical="center" shrinkToFit="1"/>
    </xf>
    <xf numFmtId="9" fontId="8" fillId="21" borderId="29" xfId="1" applyFont="1" applyFill="1" applyBorder="1" applyAlignment="1">
      <alignment horizontal="right" vertical="center" shrinkToFit="1"/>
    </xf>
    <xf numFmtId="9" fontId="9" fillId="0" borderId="5" xfId="1" applyFont="1" applyFill="1" applyBorder="1" applyAlignment="1">
      <alignment horizontal="right" vertical="center" shrinkToFit="1"/>
    </xf>
    <xf numFmtId="0" fontId="10" fillId="0" borderId="5" xfId="0" applyFont="1" applyFill="1" applyBorder="1" applyAlignment="1">
      <alignment vertical="center" shrinkToFit="1"/>
    </xf>
    <xf numFmtId="0" fontId="9" fillId="0" borderId="5" xfId="0" applyFont="1" applyFill="1" applyBorder="1" applyAlignment="1">
      <alignment horizontal="left" vertical="center" wrapText="1" shrinkToFit="1"/>
    </xf>
    <xf numFmtId="177" fontId="5" fillId="0" borderId="124" xfId="1" applyNumberFormat="1" applyFont="1" applyBorder="1" applyAlignment="1">
      <alignment horizontal="center" vertical="center" shrinkToFit="1"/>
    </xf>
    <xf numFmtId="177" fontId="5" fillId="0" borderId="5" xfId="1" applyNumberFormat="1" applyFont="1" applyBorder="1" applyAlignment="1">
      <alignment horizontal="center" vertical="center" shrinkToFit="1"/>
    </xf>
    <xf numFmtId="177" fontId="5" fillId="0" borderId="120" xfId="1" applyNumberFormat="1" applyFont="1" applyBorder="1" applyAlignment="1">
      <alignment horizontal="center" vertical="center" shrinkToFit="1"/>
    </xf>
    <xf numFmtId="186" fontId="5" fillId="0" borderId="130" xfId="0" applyNumberFormat="1" applyFont="1" applyBorder="1" applyAlignment="1">
      <alignment vertical="center"/>
    </xf>
    <xf numFmtId="186" fontId="5" fillId="0" borderId="130" xfId="1" applyNumberFormat="1" applyFont="1" applyFill="1" applyBorder="1" applyAlignment="1">
      <alignment horizontal="right" vertical="center"/>
    </xf>
    <xf numFmtId="186" fontId="5" fillId="21" borderId="120" xfId="0" applyNumberFormat="1" applyFont="1" applyFill="1" applyBorder="1" applyAlignment="1">
      <alignment vertical="center"/>
    </xf>
    <xf numFmtId="186" fontId="5" fillId="21" borderId="120" xfId="1" applyNumberFormat="1" applyFont="1" applyFill="1" applyBorder="1" applyAlignment="1">
      <alignment horizontal="right" vertical="center"/>
    </xf>
    <xf numFmtId="0" fontId="39" fillId="8" borderId="87" xfId="0" applyFont="1" applyFill="1" applyBorder="1" applyAlignment="1">
      <alignment horizontal="center" vertical="center"/>
    </xf>
    <xf numFmtId="0" fontId="39" fillId="8" borderId="132" xfId="0" applyFont="1" applyFill="1" applyBorder="1" applyAlignment="1">
      <alignment horizontal="center" vertical="center"/>
    </xf>
    <xf numFmtId="0" fontId="17" fillId="8" borderId="133" xfId="0" applyFont="1" applyFill="1" applyBorder="1">
      <alignment vertical="center"/>
    </xf>
    <xf numFmtId="38" fontId="17" fillId="8" borderId="133" xfId="0" applyNumberFormat="1" applyFont="1" applyFill="1" applyBorder="1">
      <alignment vertical="center"/>
    </xf>
    <xf numFmtId="0" fontId="8" fillId="22" borderId="5" xfId="0" applyFont="1" applyFill="1" applyBorder="1" applyAlignment="1">
      <alignment horizontal="center" vertical="center"/>
    </xf>
    <xf numFmtId="0" fontId="39" fillId="8" borderId="132" xfId="0" applyFont="1" applyFill="1" applyBorder="1">
      <alignment vertical="center"/>
    </xf>
    <xf numFmtId="176" fontId="8" fillId="22" borderId="10" xfId="0" applyNumberFormat="1" applyFont="1" applyFill="1" applyBorder="1" applyAlignment="1">
      <alignment horizontal="right" vertical="center" shrinkToFit="1"/>
    </xf>
    <xf numFmtId="176" fontId="8" fillId="21" borderId="10" xfId="0" applyNumberFormat="1" applyFont="1" applyFill="1" applyBorder="1" applyAlignment="1">
      <alignment vertical="center" shrinkToFit="1"/>
    </xf>
    <xf numFmtId="177" fontId="8" fillId="22" borderId="29" xfId="0" applyNumberFormat="1" applyFont="1" applyFill="1" applyBorder="1" applyAlignment="1">
      <alignment horizontal="right" vertical="center" shrinkToFit="1"/>
    </xf>
    <xf numFmtId="186" fontId="8" fillId="22" borderId="123" xfId="0" applyNumberFormat="1" applyFont="1" applyFill="1" applyBorder="1" applyAlignment="1">
      <alignment horizontal="right" vertical="center" shrinkToFit="1"/>
    </xf>
    <xf numFmtId="186" fontId="8" fillId="2" borderId="123" xfId="0" applyNumberFormat="1" applyFont="1" applyFill="1" applyBorder="1" applyAlignment="1">
      <alignment horizontal="right" vertical="center" shrinkToFit="1"/>
    </xf>
    <xf numFmtId="187" fontId="5" fillId="0" borderId="11" xfId="0" applyNumberFormat="1" applyFont="1" applyBorder="1" applyAlignment="1">
      <alignment vertical="center"/>
    </xf>
    <xf numFmtId="187" fontId="5" fillId="0" borderId="12" xfId="0" applyNumberFormat="1" applyFont="1" applyBorder="1" applyAlignment="1">
      <alignment vertical="center"/>
    </xf>
    <xf numFmtId="187" fontId="5" fillId="0" borderId="76" xfId="0" applyNumberFormat="1" applyFont="1" applyBorder="1" applyAlignment="1">
      <alignment vertical="center"/>
    </xf>
    <xf numFmtId="187" fontId="5" fillId="0" borderId="77" xfId="0" applyNumberFormat="1" applyFont="1" applyBorder="1" applyAlignment="1">
      <alignment vertical="center"/>
    </xf>
    <xf numFmtId="187" fontId="5" fillId="0" borderId="134" xfId="0" applyNumberFormat="1" applyFont="1" applyBorder="1" applyAlignment="1">
      <alignment vertical="center"/>
    </xf>
    <xf numFmtId="0" fontId="8" fillId="0" borderId="0" xfId="0" applyFont="1" applyAlignment="1">
      <alignment horizontal="center" vertical="center"/>
    </xf>
    <xf numFmtId="0" fontId="5" fillId="0" borderId="135" xfId="0" applyFont="1" applyBorder="1">
      <alignment vertical="center"/>
    </xf>
    <xf numFmtId="0" fontId="8" fillId="18" borderId="136" xfId="0" applyFont="1" applyFill="1" applyBorder="1" applyAlignment="1">
      <alignment horizontal="center" vertical="center"/>
    </xf>
    <xf numFmtId="0" fontId="8" fillId="18" borderId="137" xfId="0" applyFont="1" applyFill="1" applyBorder="1" applyAlignment="1">
      <alignment horizontal="center" vertical="center"/>
    </xf>
    <xf numFmtId="0" fontId="8" fillId="18" borderId="138" xfId="0" applyFont="1" applyFill="1" applyBorder="1" applyAlignment="1">
      <alignment horizontal="center" vertical="center"/>
    </xf>
    <xf numFmtId="0" fontId="8" fillId="0" borderId="139" xfId="0" applyFont="1" applyBorder="1">
      <alignment vertical="center"/>
    </xf>
    <xf numFmtId="0" fontId="8" fillId="0" borderId="140" xfId="0" applyFont="1" applyBorder="1" applyAlignment="1">
      <alignment horizontal="center" vertical="center"/>
    </xf>
    <xf numFmtId="0" fontId="8" fillId="0" borderId="141" xfId="0" applyFont="1" applyBorder="1" applyAlignment="1">
      <alignment horizontal="center" vertical="center"/>
    </xf>
    <xf numFmtId="0" fontId="8" fillId="0" borderId="142" xfId="0" applyFont="1" applyBorder="1">
      <alignment vertical="center"/>
    </xf>
    <xf numFmtId="0" fontId="8" fillId="0" borderId="143" xfId="0" applyFont="1" applyBorder="1" applyAlignment="1">
      <alignment horizontal="center" vertical="center"/>
    </xf>
    <xf numFmtId="0" fontId="8" fillId="0" borderId="144" xfId="0" applyFont="1" applyBorder="1" applyAlignment="1">
      <alignment horizontal="center" vertical="center"/>
    </xf>
    <xf numFmtId="0" fontId="8" fillId="0" borderId="145" xfId="0" applyFont="1" applyBorder="1">
      <alignment vertical="center"/>
    </xf>
    <xf numFmtId="0" fontId="39" fillId="8" borderId="146" xfId="0" applyFont="1" applyFill="1" applyBorder="1" applyAlignment="1">
      <alignment horizontal="center" vertical="center"/>
    </xf>
    <xf numFmtId="0" fontId="39" fillId="8" borderId="0" xfId="0" applyFont="1" applyFill="1" applyBorder="1" applyAlignment="1">
      <alignment horizontal="center" vertical="center"/>
    </xf>
    <xf numFmtId="38" fontId="17" fillId="8" borderId="147" xfId="0" applyNumberFormat="1" applyFont="1" applyFill="1" applyBorder="1">
      <alignment vertical="center"/>
    </xf>
    <xf numFmtId="0" fontId="8" fillId="18" borderId="148" xfId="0" applyFont="1" applyFill="1" applyBorder="1" applyAlignment="1">
      <alignment horizontal="center" vertical="center"/>
    </xf>
    <xf numFmtId="0" fontId="8" fillId="18" borderId="149" xfId="0" applyFont="1" applyFill="1" applyBorder="1" applyAlignment="1">
      <alignment horizontal="center" vertical="center"/>
    </xf>
    <xf numFmtId="0" fontId="8" fillId="18" borderId="150" xfId="0" applyFont="1" applyFill="1" applyBorder="1" applyAlignment="1">
      <alignment horizontal="center" vertical="center"/>
    </xf>
    <xf numFmtId="0" fontId="8" fillId="0" borderId="151" xfId="0" applyFont="1" applyBorder="1">
      <alignment vertical="center"/>
    </xf>
    <xf numFmtId="0" fontId="8" fillId="0" borderId="152" xfId="0" applyFont="1" applyBorder="1" applyAlignment="1">
      <alignment horizontal="center" vertical="center"/>
    </xf>
    <xf numFmtId="0" fontId="8" fillId="0" borderId="153" xfId="0" applyFont="1" applyBorder="1" applyAlignment="1">
      <alignment horizontal="center" vertical="center"/>
    </xf>
    <xf numFmtId="0" fontId="8" fillId="0" borderId="154" xfId="0" applyFont="1" applyBorder="1" applyAlignment="1">
      <alignment horizontal="center" vertical="center"/>
    </xf>
    <xf numFmtId="0" fontId="8" fillId="0" borderId="155" xfId="0" applyFont="1" applyBorder="1">
      <alignment vertical="center"/>
    </xf>
    <xf numFmtId="0" fontId="17" fillId="8" borderId="156" xfId="0" applyFont="1" applyFill="1" applyBorder="1">
      <alignment vertical="center"/>
    </xf>
    <xf numFmtId="38" fontId="17" fillId="8" borderId="156" xfId="0" applyNumberFormat="1" applyFont="1" applyFill="1" applyBorder="1">
      <alignment vertical="center"/>
    </xf>
    <xf numFmtId="38" fontId="17" fillId="8" borderId="157" xfId="0" applyNumberFormat="1" applyFont="1" applyFill="1" applyBorder="1">
      <alignment vertical="center"/>
    </xf>
    <xf numFmtId="0" fontId="8" fillId="0" borderId="158" xfId="0" applyFont="1" applyBorder="1">
      <alignment vertical="center"/>
    </xf>
    <xf numFmtId="0" fontId="5" fillId="0" borderId="69" xfId="0" applyFont="1" applyBorder="1" applyAlignment="1">
      <alignment horizontal="left" vertical="center"/>
    </xf>
    <xf numFmtId="0" fontId="5" fillId="0" borderId="2" xfId="0" applyFont="1" applyBorder="1" applyAlignment="1">
      <alignment horizontal="left" vertical="center"/>
    </xf>
    <xf numFmtId="0" fontId="5" fillId="0" borderId="69" xfId="0" applyFont="1" applyBorder="1" applyAlignment="1">
      <alignment horizontal="left" vertical="center" wrapText="1"/>
    </xf>
    <xf numFmtId="0" fontId="0" fillId="0" borderId="2" xfId="0" applyBorder="1" applyAlignment="1">
      <alignment horizontal="left" vertical="center" wrapText="1"/>
    </xf>
    <xf numFmtId="0" fontId="5" fillId="0" borderId="8" xfId="0" applyFont="1" applyBorder="1" applyAlignment="1">
      <alignment horizontal="left" vertical="center" wrapText="1"/>
    </xf>
    <xf numFmtId="0" fontId="0" fillId="0" borderId="28" xfId="0" applyBorder="1" applyAlignment="1">
      <alignment horizontal="left" vertical="center" wrapText="1"/>
    </xf>
    <xf numFmtId="0" fontId="5" fillId="0" borderId="26" xfId="0" applyFont="1" applyBorder="1" applyAlignment="1">
      <alignment horizontal="left" vertical="center" wrapText="1"/>
    </xf>
    <xf numFmtId="0" fontId="5" fillId="0" borderId="64" xfId="0" applyFont="1" applyBorder="1" applyAlignment="1">
      <alignment horizontal="left" vertical="center" wrapText="1"/>
    </xf>
    <xf numFmtId="0" fontId="0" fillId="0" borderId="1" xfId="0" applyBorder="1" applyAlignment="1">
      <alignment horizontal="left" vertical="center" wrapText="1"/>
    </xf>
    <xf numFmtId="0" fontId="5" fillId="0" borderId="26" xfId="0" applyFont="1" applyBorder="1" applyAlignment="1">
      <alignment horizontal="left" vertical="center"/>
    </xf>
    <xf numFmtId="0" fontId="5" fillId="0" borderId="28" xfId="0" applyFont="1" applyBorder="1" applyAlignment="1">
      <alignment horizontal="left" vertical="center"/>
    </xf>
    <xf numFmtId="0" fontId="5" fillId="0" borderId="28" xfId="0" applyFont="1" applyBorder="1" applyAlignment="1">
      <alignment horizontal="left" vertical="center" wrapText="1"/>
    </xf>
    <xf numFmtId="0" fontId="5" fillId="0" borderId="2" xfId="0" applyFont="1" applyBorder="1" applyAlignment="1">
      <alignment horizontal="left" vertical="center" wrapText="1"/>
    </xf>
    <xf numFmtId="183" fontId="5" fillId="0" borderId="3" xfId="0" applyNumberFormat="1" applyFont="1" applyBorder="1" applyAlignment="1">
      <alignment horizontal="right" vertical="center"/>
    </xf>
    <xf numFmtId="184" fontId="5" fillId="0" borderId="3" xfId="0" applyNumberFormat="1" applyFont="1" applyBorder="1" applyAlignment="1">
      <alignment horizontal="right" vertical="center"/>
    </xf>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8" fillId="12" borderId="5" xfId="0" applyFont="1" applyFill="1" applyBorder="1" applyAlignment="1">
      <alignment horizontal="left" vertical="center"/>
    </xf>
    <xf numFmtId="0" fontId="13" fillId="0" borderId="8" xfId="0" applyFont="1" applyFill="1" applyBorder="1" applyAlignment="1">
      <alignment horizontal="left" vertical="center"/>
    </xf>
    <xf numFmtId="0" fontId="13" fillId="0" borderId="9" xfId="0" applyFont="1" applyFill="1" applyBorder="1" applyAlignment="1">
      <alignment horizontal="left" vertical="center"/>
    </xf>
    <xf numFmtId="0" fontId="13" fillId="0" borderId="26" xfId="0" applyFont="1" applyBorder="1" applyAlignment="1">
      <alignment horizontal="left" vertical="center"/>
    </xf>
    <xf numFmtId="0" fontId="13" fillId="0" borderId="27" xfId="0" applyFont="1" applyBorder="1" applyAlignment="1">
      <alignment horizontal="left" vertical="center"/>
    </xf>
    <xf numFmtId="0" fontId="8" fillId="12" borderId="5" xfId="0" applyFont="1" applyFill="1" applyBorder="1" applyAlignment="1">
      <alignment horizontal="left" vertical="center" wrapText="1"/>
    </xf>
    <xf numFmtId="0" fontId="13" fillId="0" borderId="3" xfId="0" applyFont="1" applyBorder="1" applyAlignment="1"/>
    <xf numFmtId="0" fontId="8" fillId="12" borderId="26" xfId="0" applyFont="1" applyFill="1" applyBorder="1" applyAlignment="1">
      <alignment horizontal="center" vertical="center"/>
    </xf>
    <xf numFmtId="0" fontId="8" fillId="12" borderId="28" xfId="0" applyFont="1" applyFill="1" applyBorder="1" applyAlignment="1">
      <alignment horizontal="center" vertical="center"/>
    </xf>
    <xf numFmtId="0" fontId="8" fillId="12" borderId="27" xfId="0" applyFont="1" applyFill="1" applyBorder="1" applyAlignment="1">
      <alignment horizontal="center" vertical="center"/>
    </xf>
    <xf numFmtId="0" fontId="15" fillId="12" borderId="28" xfId="0" applyFont="1" applyFill="1" applyBorder="1" applyAlignment="1">
      <alignment horizontal="center" vertical="center"/>
    </xf>
    <xf numFmtId="0" fontId="15" fillId="12" borderId="27" xfId="0" applyFont="1" applyFill="1" applyBorder="1" applyAlignment="1">
      <alignment horizontal="center" vertical="center"/>
    </xf>
    <xf numFmtId="0" fontId="5" fillId="12" borderId="5" xfId="0" applyFont="1" applyFill="1" applyBorder="1" applyAlignment="1">
      <alignment horizontal="center" vertical="center"/>
    </xf>
    <xf numFmtId="0" fontId="8" fillId="12" borderId="8" xfId="0" applyFont="1" applyFill="1" applyBorder="1" applyAlignment="1">
      <alignment horizontal="center" vertical="center"/>
    </xf>
    <xf numFmtId="0" fontId="8" fillId="12" borderId="9" xfId="0" applyFont="1" applyFill="1" applyBorder="1" applyAlignment="1">
      <alignment horizontal="center" vertical="center"/>
    </xf>
    <xf numFmtId="0" fontId="8" fillId="12" borderId="44" xfId="0" applyFont="1" applyFill="1" applyBorder="1" applyAlignment="1">
      <alignment horizontal="center" vertical="center"/>
    </xf>
    <xf numFmtId="0" fontId="8" fillId="12" borderId="46" xfId="0" applyFont="1" applyFill="1" applyBorder="1" applyAlignment="1">
      <alignment horizontal="center" vertical="center"/>
    </xf>
    <xf numFmtId="0" fontId="13" fillId="0" borderId="0" xfId="0" applyFont="1" applyBorder="1" applyAlignment="1"/>
    <xf numFmtId="0" fontId="16" fillId="0" borderId="0" xfId="0" applyNumberFormat="1" applyFont="1" applyBorder="1" applyAlignment="1">
      <alignment horizontal="right" vertical="center"/>
    </xf>
    <xf numFmtId="20" fontId="15" fillId="4" borderId="6" xfId="0" applyNumberFormat="1" applyFont="1" applyFill="1" applyBorder="1" applyAlignment="1">
      <alignment horizontal="center" vertical="center"/>
    </xf>
    <xf numFmtId="20" fontId="15" fillId="4" borderId="7" xfId="0" applyNumberFormat="1" applyFont="1" applyFill="1" applyBorder="1" applyAlignment="1">
      <alignment horizontal="center" vertical="center"/>
    </xf>
    <xf numFmtId="0" fontId="15" fillId="4" borderId="8" xfId="0" applyFont="1" applyFill="1" applyBorder="1" applyAlignment="1">
      <alignment horizontal="center" vertical="center"/>
    </xf>
    <xf numFmtId="0" fontId="15" fillId="4" borderId="4"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21" xfId="0" applyFont="1" applyFill="1" applyBorder="1" applyAlignment="1">
      <alignment horizontal="center" vertical="center"/>
    </xf>
    <xf numFmtId="0" fontId="15" fillId="4" borderId="22" xfId="0" applyFont="1" applyFill="1" applyBorder="1" applyAlignment="1">
      <alignment horizontal="center" vertical="center"/>
    </xf>
    <xf numFmtId="0" fontId="15" fillId="4" borderId="21" xfId="0" applyFont="1" applyFill="1" applyBorder="1" applyAlignment="1">
      <alignment horizontal="center" vertical="center" wrapText="1"/>
    </xf>
    <xf numFmtId="0" fontId="16" fillId="0" borderId="24" xfId="0" applyFont="1" applyBorder="1" applyAlignment="1">
      <alignment horizontal="right" vertical="center"/>
    </xf>
    <xf numFmtId="0" fontId="16" fillId="0" borderId="80" xfId="0" applyFont="1" applyBorder="1" applyAlignment="1">
      <alignment horizontal="right" vertical="center"/>
    </xf>
    <xf numFmtId="0" fontId="16" fillId="0" borderId="81" xfId="0" applyFont="1" applyBorder="1" applyAlignment="1">
      <alignment horizontal="right" vertical="center"/>
    </xf>
    <xf numFmtId="176" fontId="5" fillId="4" borderId="26" xfId="0" applyNumberFormat="1" applyFont="1" applyFill="1" applyBorder="1" applyAlignment="1">
      <alignment horizontal="center" vertical="center" shrinkToFit="1"/>
    </xf>
    <xf numFmtId="176" fontId="5" fillId="4" borderId="28" xfId="0" applyNumberFormat="1" applyFont="1" applyFill="1" applyBorder="1" applyAlignment="1">
      <alignment horizontal="center" vertical="center" shrinkToFit="1"/>
    </xf>
    <xf numFmtId="176" fontId="5" fillId="4" borderId="27" xfId="0" applyNumberFormat="1" applyFont="1" applyFill="1" applyBorder="1" applyAlignment="1">
      <alignment horizontal="center" vertical="center" shrinkToFit="1"/>
    </xf>
    <xf numFmtId="176" fontId="8" fillId="4" borderId="26" xfId="0" applyNumberFormat="1" applyFont="1" applyFill="1" applyBorder="1" applyAlignment="1">
      <alignment horizontal="center" vertical="center" shrinkToFit="1"/>
    </xf>
    <xf numFmtId="176" fontId="8" fillId="4" borderId="28" xfId="0" applyNumberFormat="1" applyFont="1" applyFill="1" applyBorder="1" applyAlignment="1">
      <alignment horizontal="center" vertical="center" shrinkToFit="1"/>
    </xf>
    <xf numFmtId="176" fontId="8" fillId="4" borderId="27" xfId="0" applyNumberFormat="1" applyFont="1" applyFill="1" applyBorder="1" applyAlignment="1">
      <alignment horizontal="center" vertical="center" shrinkToFit="1"/>
    </xf>
    <xf numFmtId="0" fontId="15" fillId="4" borderId="8" xfId="0" applyFont="1" applyFill="1" applyBorder="1" applyAlignment="1">
      <alignment horizontal="center" vertical="center" shrinkToFit="1"/>
    </xf>
    <xf numFmtId="0" fontId="15" fillId="4" borderId="4" xfId="0" applyFont="1" applyFill="1" applyBorder="1" applyAlignment="1">
      <alignment horizontal="center" vertical="center" shrinkToFit="1"/>
    </xf>
    <xf numFmtId="0" fontId="15" fillId="4" borderId="9" xfId="0" applyFont="1" applyFill="1" applyBorder="1" applyAlignment="1">
      <alignment horizontal="center" vertical="center" shrinkToFit="1"/>
    </xf>
    <xf numFmtId="0" fontId="15" fillId="4" borderId="21" xfId="0" applyFont="1" applyFill="1" applyBorder="1" applyAlignment="1">
      <alignment horizontal="center" vertical="center" shrinkToFit="1"/>
    </xf>
    <xf numFmtId="0" fontId="15" fillId="4" borderId="22" xfId="0" applyFont="1" applyFill="1" applyBorder="1" applyAlignment="1">
      <alignment horizontal="center" vertical="center" shrinkToFit="1"/>
    </xf>
    <xf numFmtId="176" fontId="8" fillId="4" borderId="26" xfId="0" applyNumberFormat="1" applyFont="1" applyFill="1" applyBorder="1" applyAlignment="1">
      <alignment horizontal="center" vertical="center"/>
    </xf>
    <xf numFmtId="176" fontId="8" fillId="4" borderId="28" xfId="0" applyNumberFormat="1" applyFont="1" applyFill="1" applyBorder="1" applyAlignment="1">
      <alignment horizontal="center" vertical="center"/>
    </xf>
    <xf numFmtId="176" fontId="8" fillId="4" borderId="27" xfId="0" applyNumberFormat="1" applyFont="1" applyFill="1" applyBorder="1" applyAlignment="1">
      <alignment horizontal="center" vertical="center"/>
    </xf>
    <xf numFmtId="0" fontId="16" fillId="8" borderId="26" xfId="0" applyFont="1" applyFill="1" applyBorder="1" applyAlignment="1">
      <alignment horizontal="right" vertical="center"/>
    </xf>
    <xf numFmtId="0" fontId="16" fillId="8" borderId="28" xfId="0" applyFont="1" applyFill="1" applyBorder="1" applyAlignment="1">
      <alignment horizontal="right" vertical="center"/>
    </xf>
    <xf numFmtId="0" fontId="16" fillId="8" borderId="27" xfId="0" applyFont="1" applyFill="1" applyBorder="1" applyAlignment="1">
      <alignment horizontal="right" vertical="center"/>
    </xf>
    <xf numFmtId="20" fontId="15" fillId="4" borderId="29" xfId="0" applyNumberFormat="1" applyFont="1" applyFill="1" applyBorder="1" applyAlignment="1">
      <alignment horizontal="center" vertical="center"/>
    </xf>
    <xf numFmtId="0" fontId="15" fillId="4" borderId="26" xfId="0" applyFont="1" applyFill="1" applyBorder="1" applyAlignment="1">
      <alignment horizontal="center" vertical="center"/>
    </xf>
    <xf numFmtId="0" fontId="15" fillId="4" borderId="28" xfId="0" applyFont="1" applyFill="1" applyBorder="1" applyAlignment="1">
      <alignment horizontal="center" vertical="center"/>
    </xf>
    <xf numFmtId="0" fontId="15" fillId="4" borderId="27" xfId="0" applyFont="1" applyFill="1" applyBorder="1" applyAlignment="1">
      <alignment horizontal="center" vertical="center"/>
    </xf>
    <xf numFmtId="0" fontId="14" fillId="4" borderId="26" xfId="0" applyFont="1" applyFill="1" applyBorder="1" applyAlignment="1">
      <alignment horizontal="center" vertical="center"/>
    </xf>
    <xf numFmtId="0" fontId="14" fillId="4" borderId="27" xfId="0" applyFont="1" applyFill="1" applyBorder="1" applyAlignment="1">
      <alignment horizontal="center" vertical="center"/>
    </xf>
    <xf numFmtId="0" fontId="14" fillId="4" borderId="26" xfId="0" applyFont="1" applyFill="1" applyBorder="1" applyAlignment="1">
      <alignment horizontal="center" vertical="center" wrapText="1"/>
    </xf>
    <xf numFmtId="0" fontId="14" fillId="4" borderId="27"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44" xfId="0" applyFont="1" applyFill="1" applyBorder="1" applyAlignment="1">
      <alignment horizontal="center" vertical="center" wrapText="1"/>
    </xf>
    <xf numFmtId="0" fontId="15" fillId="4" borderId="46" xfId="0" applyFont="1" applyFill="1" applyBorder="1" applyAlignment="1">
      <alignment horizontal="center" vertical="center" wrapText="1"/>
    </xf>
    <xf numFmtId="176" fontId="5" fillId="4" borderId="26" xfId="0" applyNumberFormat="1" applyFont="1" applyFill="1" applyBorder="1" applyAlignment="1">
      <alignment horizontal="center" vertical="center"/>
    </xf>
    <xf numFmtId="176" fontId="5" fillId="4" borderId="28" xfId="0" applyNumberFormat="1" applyFont="1" applyFill="1" applyBorder="1" applyAlignment="1">
      <alignment horizontal="center" vertical="center"/>
    </xf>
    <xf numFmtId="176" fontId="5" fillId="4" borderId="27" xfId="0" applyNumberFormat="1" applyFont="1" applyFill="1" applyBorder="1" applyAlignment="1">
      <alignment horizontal="center" vertical="center"/>
    </xf>
    <xf numFmtId="0" fontId="15" fillId="4" borderId="26" xfId="0" applyFont="1" applyFill="1" applyBorder="1" applyAlignment="1">
      <alignment horizontal="justify" vertical="center" wrapText="1"/>
    </xf>
    <xf numFmtId="0" fontId="15" fillId="4" borderId="27" xfId="0" applyFont="1" applyFill="1" applyBorder="1" applyAlignment="1">
      <alignment horizontal="justify" vertical="center" wrapText="1"/>
    </xf>
    <xf numFmtId="176" fontId="5" fillId="4" borderId="26" xfId="0" applyNumberFormat="1" applyFont="1" applyFill="1" applyBorder="1" applyAlignment="1">
      <alignment horizontal="center" vertical="center" wrapText="1"/>
    </xf>
    <xf numFmtId="176" fontId="5" fillId="4" borderId="28" xfId="0" applyNumberFormat="1" applyFont="1" applyFill="1" applyBorder="1" applyAlignment="1">
      <alignment horizontal="center" vertical="center" wrapText="1"/>
    </xf>
    <xf numFmtId="176" fontId="5" fillId="4" borderId="27" xfId="0" applyNumberFormat="1" applyFont="1" applyFill="1" applyBorder="1" applyAlignment="1">
      <alignment horizontal="center" vertical="center" wrapText="1"/>
    </xf>
    <xf numFmtId="20" fontId="8" fillId="4" borderId="6" xfId="0" applyNumberFormat="1" applyFont="1" applyFill="1" applyBorder="1" applyAlignment="1">
      <alignment horizontal="center" vertical="center" shrinkToFit="1"/>
    </xf>
    <xf numFmtId="20" fontId="8" fillId="4" borderId="7" xfId="0" applyNumberFormat="1" applyFont="1" applyFill="1" applyBorder="1" applyAlignment="1">
      <alignment horizontal="center" vertical="center" shrinkToFit="1"/>
    </xf>
    <xf numFmtId="0" fontId="8" fillId="4" borderId="8" xfId="0" applyFont="1" applyFill="1" applyBorder="1" applyAlignment="1">
      <alignment horizontal="center" vertical="center" shrinkToFit="1"/>
    </xf>
    <xf numFmtId="0" fontId="8" fillId="4" borderId="4" xfId="0" applyFont="1" applyFill="1" applyBorder="1" applyAlignment="1">
      <alignment horizontal="center" vertical="center" shrinkToFit="1"/>
    </xf>
    <xf numFmtId="0" fontId="8" fillId="4" borderId="9" xfId="0" applyFont="1" applyFill="1" applyBorder="1" applyAlignment="1">
      <alignment horizontal="center" vertical="center" shrinkToFit="1"/>
    </xf>
    <xf numFmtId="0" fontId="14" fillId="4" borderId="13" xfId="0" applyFont="1" applyFill="1" applyBorder="1" applyAlignment="1">
      <alignment horizontal="center" vertical="center" shrinkToFit="1"/>
    </xf>
    <xf numFmtId="0" fontId="14" fillId="4" borderId="14" xfId="0" applyFont="1" applyFill="1" applyBorder="1" applyAlignment="1">
      <alignment horizontal="center" vertical="center" shrinkToFit="1"/>
    </xf>
    <xf numFmtId="0" fontId="5" fillId="0" borderId="6" xfId="0" applyFont="1" applyBorder="1" applyAlignment="1">
      <alignment horizontal="left" vertical="center"/>
    </xf>
    <xf numFmtId="0" fontId="0" fillId="0" borderId="29" xfId="0" applyBorder="1" applyAlignment="1">
      <alignment horizontal="left" vertical="center"/>
    </xf>
    <xf numFmtId="0" fontId="5" fillId="0" borderId="29" xfId="0" applyFont="1" applyBorder="1" applyAlignment="1">
      <alignment horizontal="left" vertical="center"/>
    </xf>
    <xf numFmtId="0" fontId="8" fillId="18" borderId="6" xfId="0" applyFont="1" applyFill="1" applyBorder="1" applyAlignment="1">
      <alignment horizontal="left" vertical="center"/>
    </xf>
    <xf numFmtId="0" fontId="13" fillId="0" borderId="6" xfId="0" applyFont="1" applyBorder="1" applyAlignment="1">
      <alignment horizontal="justify" vertical="center" wrapText="1"/>
    </xf>
    <xf numFmtId="0" fontId="13" fillId="0" borderId="29" xfId="0" applyFont="1" applyBorder="1" applyAlignment="1">
      <alignment horizontal="justify" vertical="center" wrapText="1"/>
    </xf>
    <xf numFmtId="0" fontId="12" fillId="0" borderId="6" xfId="0" applyFont="1" applyBorder="1" applyAlignment="1">
      <alignment horizontal="left" vertical="center" wrapText="1" indent="1"/>
    </xf>
    <xf numFmtId="0" fontId="12" fillId="0" borderId="29" xfId="0" applyFont="1" applyBorder="1" applyAlignment="1">
      <alignment horizontal="left" vertical="center" wrapText="1" indent="1"/>
    </xf>
    <xf numFmtId="0" fontId="16" fillId="0" borderId="6" xfId="0" applyFont="1" applyBorder="1" applyAlignment="1">
      <alignment horizontal="left" vertical="center"/>
    </xf>
    <xf numFmtId="0" fontId="8" fillId="22" borderId="6" xfId="0" applyFont="1" applyFill="1" applyBorder="1" applyAlignment="1">
      <alignment horizontal="left" vertical="center"/>
    </xf>
    <xf numFmtId="0" fontId="0" fillId="21" borderId="29" xfId="0" applyFill="1" applyBorder="1" applyAlignment="1">
      <alignment horizontal="left" vertical="center"/>
    </xf>
    <xf numFmtId="0" fontId="5" fillId="0" borderId="6" xfId="0" applyFont="1" applyBorder="1" applyAlignment="1">
      <alignment horizontal="left" vertical="center" wrapText="1"/>
    </xf>
    <xf numFmtId="0" fontId="5" fillId="0" borderId="29" xfId="0" applyFont="1" applyBorder="1" applyAlignment="1">
      <alignment horizontal="left" vertical="center" wrapText="1"/>
    </xf>
    <xf numFmtId="0" fontId="5" fillId="0" borderId="6" xfId="0" applyFont="1" applyBorder="1" applyAlignment="1">
      <alignment horizontal="justify" vertical="top" wrapText="1"/>
    </xf>
    <xf numFmtId="0" fontId="5" fillId="0" borderId="29" xfId="0" applyFont="1" applyBorder="1" applyAlignment="1">
      <alignment horizontal="justify" vertical="top" wrapText="1"/>
    </xf>
    <xf numFmtId="0" fontId="5" fillId="0" borderId="6" xfId="0" applyFont="1" applyBorder="1" applyAlignment="1">
      <alignment horizontal="justify" vertical="center" wrapText="1"/>
    </xf>
    <xf numFmtId="0" fontId="5" fillId="0" borderId="29" xfId="0" applyFont="1" applyBorder="1" applyAlignment="1">
      <alignment horizontal="justify" vertical="center" wrapText="1"/>
    </xf>
    <xf numFmtId="0" fontId="16" fillId="0" borderId="6" xfId="0" applyFont="1" applyBorder="1" applyAlignment="1">
      <alignment horizontal="justify" vertical="center" wrapText="1"/>
    </xf>
    <xf numFmtId="0" fontId="16" fillId="0" borderId="29" xfId="0" applyFont="1" applyBorder="1" applyAlignment="1">
      <alignment horizontal="justify" vertical="center" wrapText="1"/>
    </xf>
    <xf numFmtId="0" fontId="35" fillId="0" borderId="6" xfId="0" applyFont="1" applyBorder="1" applyAlignment="1">
      <alignment horizontal="justify" vertical="center" wrapText="1"/>
    </xf>
    <xf numFmtId="0" fontId="35" fillId="0" borderId="29" xfId="0" applyFont="1" applyBorder="1" applyAlignment="1">
      <alignment horizontal="justify" vertical="center" wrapText="1"/>
    </xf>
    <xf numFmtId="0" fontId="5" fillId="0" borderId="6" xfId="0" applyFont="1" applyBorder="1">
      <alignment vertical="center"/>
    </xf>
    <xf numFmtId="0" fontId="5" fillId="0" borderId="29" xfId="0" applyFont="1" applyBorder="1">
      <alignment vertical="center"/>
    </xf>
    <xf numFmtId="0" fontId="8" fillId="18" borderId="6" xfId="0" applyFont="1" applyFill="1" applyBorder="1" applyAlignment="1">
      <alignment horizontal="left" vertical="center" indent="1"/>
    </xf>
    <xf numFmtId="0" fontId="8" fillId="18" borderId="29" xfId="0" applyFont="1" applyFill="1" applyBorder="1" applyAlignment="1">
      <alignment horizontal="left" vertical="center" indent="1"/>
    </xf>
    <xf numFmtId="0" fontId="8" fillId="18" borderId="29" xfId="0" applyFont="1" applyFill="1" applyBorder="1" applyAlignment="1">
      <alignment horizontal="left" vertical="center"/>
    </xf>
    <xf numFmtId="0" fontId="16" fillId="0" borderId="29" xfId="0" applyFont="1" applyBorder="1" applyAlignment="1">
      <alignment horizontal="left" vertical="center"/>
    </xf>
    <xf numFmtId="0" fontId="16" fillId="0" borderId="6" xfId="0" applyFont="1" applyBorder="1" applyAlignment="1">
      <alignment vertical="center"/>
    </xf>
    <xf numFmtId="0" fontId="16" fillId="0" borderId="29" xfId="0" applyFont="1" applyBorder="1" applyAlignment="1">
      <alignment vertical="center"/>
    </xf>
    <xf numFmtId="0" fontId="12" fillId="0" borderId="6" xfId="0" applyFont="1" applyBorder="1" applyAlignment="1">
      <alignment horizontal="justify" vertical="top" wrapText="1"/>
    </xf>
    <xf numFmtId="0" fontId="12" fillId="0" borderId="29" xfId="0" applyFont="1" applyBorder="1" applyAlignment="1">
      <alignment horizontal="justify" vertical="top" wrapText="1"/>
    </xf>
    <xf numFmtId="0" fontId="16" fillId="0" borderId="6" xfId="0" applyFont="1" applyBorder="1" applyAlignment="1">
      <alignment horizontal="justify" vertical="top" wrapText="1"/>
    </xf>
    <xf numFmtId="0" fontId="16" fillId="0" borderId="29" xfId="0" applyFont="1" applyBorder="1" applyAlignment="1">
      <alignment horizontal="justify" vertical="top" wrapText="1"/>
    </xf>
    <xf numFmtId="0" fontId="16" fillId="0" borderId="7" xfId="0" applyFont="1" applyBorder="1" applyAlignment="1">
      <alignment horizontal="justify" vertical="center" wrapText="1"/>
    </xf>
    <xf numFmtId="0" fontId="15" fillId="18" borderId="6" xfId="0" applyFont="1" applyFill="1" applyBorder="1" applyAlignment="1">
      <alignment horizontal="center" vertical="center"/>
    </xf>
    <xf numFmtId="0" fontId="15" fillId="18" borderId="29" xfId="0" applyFont="1" applyFill="1" applyBorder="1" applyAlignment="1">
      <alignment horizontal="center" vertical="center"/>
    </xf>
    <xf numFmtId="0" fontId="15" fillId="18" borderId="26" xfId="0" applyFont="1" applyFill="1" applyBorder="1" applyAlignment="1">
      <alignment horizontal="center" vertical="center"/>
    </xf>
    <xf numFmtId="0" fontId="15" fillId="18" borderId="28" xfId="0" applyFont="1" applyFill="1" applyBorder="1" applyAlignment="1">
      <alignment horizontal="center" vertical="center"/>
    </xf>
    <xf numFmtId="0" fontId="15" fillId="18" borderId="27" xfId="0" applyFont="1" applyFill="1" applyBorder="1" applyAlignment="1">
      <alignment horizontal="center" vertical="center"/>
    </xf>
    <xf numFmtId="0" fontId="15" fillId="18" borderId="6" xfId="0" applyFont="1" applyFill="1" applyBorder="1" applyAlignment="1">
      <alignment horizontal="left" vertical="center" indent="1"/>
    </xf>
    <xf numFmtId="0" fontId="15" fillId="18" borderId="29" xfId="0" applyFont="1" applyFill="1" applyBorder="1" applyAlignment="1">
      <alignment horizontal="left" vertical="center" indent="1"/>
    </xf>
    <xf numFmtId="0" fontId="14" fillId="5" borderId="26" xfId="0" applyFont="1" applyFill="1" applyBorder="1" applyAlignment="1">
      <alignment horizontal="center" vertical="center"/>
    </xf>
    <xf numFmtId="0" fontId="14" fillId="5" borderId="28" xfId="0" applyFont="1" applyFill="1" applyBorder="1" applyAlignment="1">
      <alignment horizontal="center" vertical="center"/>
    </xf>
    <xf numFmtId="0" fontId="14" fillId="5" borderId="27"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29" xfId="0" applyFont="1" applyFill="1" applyBorder="1" applyAlignment="1">
      <alignment horizontal="center" vertical="center"/>
    </xf>
    <xf numFmtId="0" fontId="14" fillId="5" borderId="7" xfId="0" applyFont="1" applyFill="1" applyBorder="1" applyAlignment="1">
      <alignment horizontal="center" vertical="center"/>
    </xf>
    <xf numFmtId="0" fontId="5" fillId="0" borderId="64" xfId="0" applyFont="1" applyBorder="1" applyAlignment="1">
      <alignment horizontal="left" vertical="center" shrinkToFit="1"/>
    </xf>
    <xf numFmtId="0" fontId="5" fillId="0" borderId="125" xfId="0" applyFont="1" applyBorder="1" applyAlignment="1">
      <alignment horizontal="left" vertical="center" shrinkToFit="1"/>
    </xf>
    <xf numFmtId="0" fontId="5" fillId="0" borderId="70" xfId="0" applyFont="1" applyBorder="1" applyAlignment="1">
      <alignment horizontal="left" vertical="center" shrinkToFit="1"/>
    </xf>
    <xf numFmtId="0" fontId="5" fillId="0" borderId="131" xfId="0" applyFont="1" applyBorder="1" applyAlignment="1">
      <alignment horizontal="left" vertical="center" shrinkToFit="1"/>
    </xf>
    <xf numFmtId="0" fontId="5" fillId="0" borderId="128" xfId="0" applyFont="1" applyBorder="1" applyAlignment="1">
      <alignment horizontal="left" vertical="center" shrinkToFit="1"/>
    </xf>
    <xf numFmtId="0" fontId="5" fillId="0" borderId="129" xfId="0" applyFont="1" applyBorder="1" applyAlignment="1">
      <alignment horizontal="left" vertical="center" shrinkToFit="1"/>
    </xf>
    <xf numFmtId="0" fontId="8" fillId="21" borderId="126" xfId="0" applyFont="1" applyFill="1" applyBorder="1" applyAlignment="1">
      <alignment horizontal="left" vertical="center" shrinkToFit="1"/>
    </xf>
    <xf numFmtId="0" fontId="8" fillId="21" borderId="127" xfId="0" applyFont="1" applyFill="1" applyBorder="1" applyAlignment="1">
      <alignment horizontal="left" vertical="center" shrinkToFit="1"/>
    </xf>
    <xf numFmtId="0" fontId="5" fillId="0" borderId="69" xfId="0" applyFont="1" applyBorder="1" applyAlignment="1">
      <alignment horizontal="center" vertical="center" shrinkToFit="1"/>
    </xf>
    <xf numFmtId="0" fontId="5" fillId="0" borderId="98" xfId="0" applyFont="1" applyBorder="1" applyAlignment="1">
      <alignment horizontal="center" vertical="center" shrinkToFit="1"/>
    </xf>
    <xf numFmtId="0" fontId="8" fillId="22" borderId="65" xfId="0" applyFont="1" applyFill="1" applyBorder="1" applyAlignment="1">
      <alignment horizontal="center" vertical="center"/>
    </xf>
    <xf numFmtId="0" fontId="8" fillId="22" borderId="121" xfId="0" applyFont="1" applyFill="1" applyBorder="1" applyAlignment="1">
      <alignment horizontal="center" vertical="center"/>
    </xf>
    <xf numFmtId="0" fontId="8" fillId="22" borderId="65" xfId="0" applyFont="1" applyFill="1" applyBorder="1" applyAlignment="1">
      <alignment horizontal="center" vertical="center" shrinkToFit="1"/>
    </xf>
    <xf numFmtId="0" fontId="8" fillId="22" borderId="121" xfId="0" applyFont="1" applyFill="1" applyBorder="1" applyAlignment="1">
      <alignment horizontal="center" vertical="center" shrinkToFit="1"/>
    </xf>
    <xf numFmtId="0" fontId="8" fillId="2" borderId="65" xfId="0" applyFont="1" applyFill="1" applyBorder="1" applyAlignment="1">
      <alignment horizontal="center" vertical="center" shrinkToFit="1"/>
    </xf>
    <xf numFmtId="0" fontId="8" fillId="2" borderId="121" xfId="0" applyFont="1" applyFill="1" applyBorder="1" applyAlignment="1">
      <alignment horizontal="center" vertical="center" shrinkToFit="1"/>
    </xf>
    <xf numFmtId="0" fontId="8" fillId="2" borderId="65" xfId="0" applyFont="1" applyFill="1" applyBorder="1" applyAlignment="1">
      <alignment horizontal="center" vertical="center"/>
    </xf>
    <xf numFmtId="0" fontId="8" fillId="2" borderId="121" xfId="0" applyFont="1" applyFill="1" applyBorder="1" applyAlignment="1">
      <alignment horizontal="center" vertical="center"/>
    </xf>
    <xf numFmtId="0" fontId="9" fillId="0" borderId="64" xfId="0" applyFont="1" applyBorder="1" applyAlignment="1">
      <alignment vertical="center" wrapText="1"/>
    </xf>
    <xf numFmtId="0" fontId="25" fillId="0" borderId="1" xfId="0" applyFont="1" applyBorder="1" applyAlignment="1">
      <alignment vertical="center" wrapText="1"/>
    </xf>
    <xf numFmtId="0" fontId="9" fillId="0" borderId="69" xfId="0" applyFont="1" applyBorder="1" applyAlignment="1">
      <alignment vertical="center" wrapText="1"/>
    </xf>
    <xf numFmtId="0" fontId="9" fillId="0" borderId="98" xfId="0" applyFont="1" applyBorder="1" applyAlignment="1">
      <alignment vertical="center" wrapText="1"/>
    </xf>
    <xf numFmtId="0" fontId="9" fillId="0" borderId="2" xfId="0" applyFont="1" applyBorder="1" applyAlignment="1">
      <alignment vertical="center" wrapText="1"/>
    </xf>
    <xf numFmtId="0" fontId="25" fillId="0" borderId="2" xfId="0" applyFont="1" applyBorder="1" applyAlignment="1">
      <alignment vertical="center" wrapText="1"/>
    </xf>
    <xf numFmtId="0" fontId="9" fillId="0" borderId="69" xfId="0" applyFont="1" applyBorder="1" applyAlignment="1">
      <alignment vertical="center"/>
    </xf>
    <xf numFmtId="0" fontId="9" fillId="0" borderId="2" xfId="0" applyFont="1" applyBorder="1" applyAlignment="1">
      <alignment vertical="center"/>
    </xf>
    <xf numFmtId="0" fontId="9" fillId="0" borderId="55" xfId="0" applyFont="1" applyBorder="1" applyAlignment="1">
      <alignment horizontal="center" vertical="center" shrinkToFit="1"/>
    </xf>
    <xf numFmtId="0" fontId="24" fillId="0" borderId="0" xfId="0" applyFont="1" applyBorder="1" applyAlignment="1">
      <alignment horizontal="center" vertical="center"/>
    </xf>
    <xf numFmtId="0" fontId="5" fillId="0" borderId="89" xfId="0" applyFont="1" applyBorder="1" applyAlignment="1">
      <alignment horizontal="center" vertical="center"/>
    </xf>
    <xf numFmtId="0" fontId="5" fillId="0" borderId="90" xfId="0" applyFont="1" applyBorder="1" applyAlignment="1">
      <alignment horizontal="center" vertical="center"/>
    </xf>
  </cellXfs>
  <cellStyles count="9">
    <cellStyle name="パーセント" xfId="1" builtinId="5"/>
    <cellStyle name="桁区切り" xfId="7" builtinId="6"/>
    <cellStyle name="桁区切り 2" xfId="8"/>
    <cellStyle name="標準" xfId="0" builtinId="0"/>
    <cellStyle name="標準 2" xfId="2"/>
    <cellStyle name="標準 2 2" xfId="3"/>
    <cellStyle name="標準 3" xfId="4"/>
    <cellStyle name="標準 4" xfId="5"/>
    <cellStyle name="標準 4 2" xfId="6"/>
  </cellStyles>
  <dxfs count="1008">
    <dxf>
      <font>
        <b val="0"/>
        <i val="0"/>
        <strike val="0"/>
        <condense val="0"/>
        <extend val="0"/>
        <outline val="0"/>
        <shadow val="0"/>
        <u val="none"/>
        <vertAlign val="baseline"/>
        <sz val="11"/>
        <color auto="1"/>
        <name val="メイリオ"/>
        <scheme val="none"/>
      </font>
      <numFmt numFmtId="6" formatCode="#,##0;[Red]\-#,##0"/>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auto="1"/>
        <name val="メイリオ"/>
        <scheme val="none"/>
      </font>
      <fill>
        <patternFill patternType="solid">
          <fgColor theme="4" tint="0.79998168889431442"/>
          <bgColor theme="4" tint="0.79998168889431442"/>
        </patternFill>
      </fill>
      <alignment horizontal="left"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border outline="0">
        <bottom style="thin">
          <color theme="4" tint="0.39997558519241921"/>
        </bottom>
      </border>
    </dxf>
    <dxf>
      <font>
        <b/>
        <i val="0"/>
        <strike val="0"/>
        <condense val="0"/>
        <extend val="0"/>
        <outline val="0"/>
        <shadow val="0"/>
        <u val="none"/>
        <vertAlign val="baseline"/>
        <sz val="11"/>
        <color auto="1"/>
        <name val="メイリオ"/>
        <scheme val="none"/>
      </font>
      <fill>
        <patternFill patternType="solid">
          <fgColor theme="4"/>
          <bgColor theme="4"/>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メイリオ"/>
        <scheme val="none"/>
      </font>
      <fill>
        <patternFill patternType="none">
          <fgColor indexed="64"/>
          <bgColor indexed="65"/>
        </patternFill>
      </fill>
    </dxf>
    <dxf>
      <font>
        <b val="0"/>
        <i val="0"/>
        <strike val="0"/>
        <condense val="0"/>
        <extend val="0"/>
        <outline val="0"/>
        <shadow val="0"/>
        <u val="none"/>
        <vertAlign val="baseline"/>
        <sz val="11"/>
        <color auto="1"/>
        <name val="メイリオ"/>
        <scheme val="none"/>
      </font>
      <fill>
        <patternFill patternType="none">
          <fgColor indexed="64"/>
          <bgColor indexed="65"/>
        </patternFill>
      </fill>
    </dxf>
    <dxf>
      <border outline="0">
        <top style="thin">
          <color theme="4" tint="0.39997558519241921"/>
        </top>
      </border>
    </dxf>
    <dxf>
      <numFmt numFmtId="6" formatCode="#,##0;[Red]\-#,##0"/>
      <fill>
        <patternFill patternType="none">
          <fgColor indexed="64"/>
          <bgColor indexed="65"/>
        </patternFill>
      </fill>
    </dxf>
    <dxf>
      <numFmt numFmtId="6" formatCode="#,##0;[Red]\-#,##0"/>
      <fill>
        <patternFill patternType="none">
          <fgColor indexed="64"/>
          <bgColor indexed="65"/>
        </patternFill>
      </fill>
    </dxf>
    <dxf>
      <numFmt numFmtId="6" formatCode="#,##0;[Red]\-#,##0"/>
      <fill>
        <patternFill patternType="none">
          <fgColor indexed="64"/>
          <bgColor indexed="65"/>
        </patternFill>
      </fill>
    </dxf>
    <dxf>
      <numFmt numFmtId="6" formatCode="#,##0;[Red]\-#,##0"/>
      <fill>
        <patternFill patternType="none">
          <fgColor indexed="64"/>
          <bgColor indexed="65"/>
        </patternFill>
      </fill>
    </dxf>
    <dxf>
      <numFmt numFmtId="6" formatCode="#,##0;[Red]\-#,##0"/>
      <fill>
        <patternFill patternType="none">
          <fgColor indexed="64"/>
          <bgColor indexed="65"/>
        </patternFill>
      </fill>
    </dxf>
    <dxf>
      <numFmt numFmtId="6" formatCode="#,##0;[Red]\-#,##0"/>
      <fill>
        <patternFill patternType="none">
          <fgColor indexed="64"/>
          <bgColor indexed="65"/>
        </patternFill>
      </fill>
    </dxf>
    <dxf>
      <numFmt numFmtId="6" formatCode="#,##0;[Red]\-#,##0"/>
      <fill>
        <patternFill patternType="none">
          <fgColor indexed="64"/>
          <bgColor indexed="65"/>
        </patternFill>
      </fill>
    </dxf>
    <dxf>
      <numFmt numFmtId="6" formatCode="#,##0;[Red]\-#,##0"/>
      <fill>
        <patternFill patternType="none">
          <fgColor indexed="64"/>
          <bgColor indexed="65"/>
        </patternFill>
      </fill>
    </dxf>
    <dxf>
      <numFmt numFmtId="6" formatCode="#,##0;[Red]\-#,##0"/>
      <fill>
        <patternFill patternType="none">
          <fgColor indexed="64"/>
          <bgColor indexed="65"/>
        </patternFill>
      </fill>
    </dxf>
    <dxf>
      <numFmt numFmtId="6" formatCode="#,##0;[Red]\-#,##0"/>
      <fill>
        <patternFill patternType="none">
          <fgColor indexed="64"/>
          <bgColor indexed="65"/>
        </patternFill>
      </fill>
    </dxf>
    <dxf>
      <numFmt numFmtId="6" formatCode="#,##0;[Red]\-#,##0"/>
      <fill>
        <patternFill patternType="none">
          <fgColor indexed="64"/>
          <bgColor indexed="65"/>
        </patternFill>
      </fill>
    </dxf>
    <dxf>
      <numFmt numFmtId="6" formatCode="#,##0;[Red]\-#,##0"/>
      <fill>
        <patternFill patternType="none">
          <fgColor indexed="64"/>
          <bgColor indexed="65"/>
        </patternFill>
      </fill>
    </dxf>
    <dxf>
      <numFmt numFmtId="6" formatCode="#,##0;[Red]\-#,##0"/>
      <fill>
        <patternFill patternType="none">
          <fgColor indexed="64"/>
          <bgColor indexed="65"/>
        </patternFill>
      </fill>
    </dxf>
    <dxf>
      <numFmt numFmtId="6" formatCode="#,##0;[Red]\-#,##0"/>
      <fill>
        <patternFill patternType="none">
          <fgColor indexed="64"/>
          <bgColor indexed="65"/>
        </patternFill>
      </fill>
    </dxf>
    <dxf>
      <numFmt numFmtId="6" formatCode="#,##0;[Red]\-#,##0"/>
      <fill>
        <patternFill patternType="none">
          <fgColor indexed="64"/>
          <bgColor indexed="65"/>
        </patternFill>
      </fill>
    </dxf>
    <dxf>
      <numFmt numFmtId="6" formatCode="#,##0;[Red]\-#,##0"/>
      <fill>
        <patternFill patternType="none">
          <fgColor indexed="64"/>
          <bgColor indexed="65"/>
        </patternFill>
      </fill>
    </dxf>
    <dxf>
      <numFmt numFmtId="6" formatCode="#,##0;[Red]\-#,##0"/>
      <fill>
        <patternFill patternType="none">
          <fgColor indexed="64"/>
          <bgColor indexed="65"/>
        </patternFill>
      </fill>
    </dxf>
    <dxf>
      <numFmt numFmtId="6" formatCode="#,##0;[Red]\-#,##0"/>
      <fill>
        <patternFill patternType="none">
          <fgColor indexed="64"/>
          <bgColor indexed="65"/>
        </patternFill>
      </fill>
    </dxf>
    <dxf>
      <numFmt numFmtId="6" formatCode="#,##0;[Red]\-#,##0"/>
      <fill>
        <patternFill patternType="none">
          <fgColor indexed="64"/>
          <bgColor indexed="65"/>
        </patternFill>
      </fill>
    </dxf>
    <dxf>
      <numFmt numFmtId="6" formatCode="#,##0;[Red]\-#,##0"/>
      <fill>
        <patternFill patternType="none">
          <fgColor indexed="64"/>
          <bgColor indexed="65"/>
        </patternFill>
      </fill>
    </dxf>
    <dxf>
      <numFmt numFmtId="6" formatCode="#,##0;[Red]\-#,##0"/>
      <fill>
        <patternFill patternType="none">
          <fgColor indexed="64"/>
          <bgColor indexed="65"/>
        </patternFill>
      </fill>
    </dxf>
    <dxf>
      <numFmt numFmtId="6" formatCode="#,##0;[Red]\-#,##0"/>
      <fill>
        <patternFill patternType="none">
          <fgColor indexed="64"/>
          <bgColor indexed="65"/>
        </patternFill>
      </fill>
    </dxf>
    <dxf>
      <fill>
        <patternFill patternType="none">
          <fgColor indexed="64"/>
          <bgColor indexed="65"/>
        </patternFill>
      </fill>
      <alignment horizontal="left" vertical="center" textRotation="0" wrapText="0" indent="0" justifyLastLine="0" shrinkToFit="0" readingOrder="0"/>
    </dxf>
    <dxf>
      <fill>
        <patternFill patternType="none">
          <fgColor indexed="64"/>
          <bgColor indexed="65"/>
        </patternFill>
      </fill>
    </dxf>
    <dxf>
      <border outline="0">
        <bottom style="thin">
          <color theme="4" tint="0.39997558519241921"/>
        </bottom>
      </border>
    </dxf>
    <dxf>
      <font>
        <b/>
        <i val="0"/>
        <strike val="0"/>
        <condense val="0"/>
        <extend val="0"/>
        <outline val="0"/>
        <shadow val="0"/>
        <u val="none"/>
        <vertAlign val="baseline"/>
        <sz val="11"/>
        <color theme="1"/>
        <name val="ＭＳ Ｐゴシック"/>
        <scheme val="minor"/>
      </font>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fill>
        <patternFill patternType="none">
          <fgColor indexed="64"/>
          <bgColor indexed="65"/>
        </patternFill>
      </fill>
    </dxf>
    <dxf>
      <font>
        <b val="0"/>
        <i val="0"/>
        <strike val="0"/>
        <condense val="0"/>
        <extend val="0"/>
        <outline val="0"/>
        <shadow val="0"/>
        <u val="none"/>
        <vertAlign val="baseline"/>
        <sz val="11"/>
        <color auto="1"/>
        <name val="メイリオ"/>
        <scheme val="none"/>
      </font>
      <fill>
        <patternFill patternType="none">
          <fgColor indexed="64"/>
          <bgColor indexed="65"/>
        </patternFill>
      </fill>
    </dxf>
    <dxf>
      <font>
        <b val="0"/>
        <i val="0"/>
        <strike val="0"/>
        <condense val="0"/>
        <extend val="0"/>
        <outline val="0"/>
        <shadow val="0"/>
        <u val="none"/>
        <vertAlign val="baseline"/>
        <sz val="11"/>
        <color auto="1"/>
        <name val="メイリオ"/>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メイリオ"/>
        <scheme val="none"/>
      </font>
      <numFmt numFmtId="6" formatCode="#,##0;[Red]\-#,##0"/>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メイリオ"/>
        <scheme val="none"/>
      </font>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メイリオ"/>
        <scheme val="none"/>
      </font>
      <numFmt numFmtId="6" formatCode="#,##0;[Red]\-#,##0"/>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メイリオ"/>
        <scheme val="none"/>
      </font>
      <numFmt numFmtId="6" formatCode="#,##0;[Red]\-#,##0"/>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メイリオ"/>
        <scheme val="none"/>
      </font>
      <numFmt numFmtId="6" formatCode="#,##0;[Red]\-#,##0"/>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メイリオ"/>
        <scheme val="none"/>
      </font>
      <numFmt numFmtId="6" formatCode="#,##0;[Red]\-#,##0"/>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メイリオ"/>
        <scheme val="none"/>
      </font>
      <numFmt numFmtId="6" formatCode="#,##0;[Red]\-#,##0"/>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メイリオ"/>
        <scheme val="none"/>
      </font>
      <numFmt numFmtId="6" formatCode="#,##0;[Red]\-#,##0"/>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メイリオ"/>
        <scheme val="none"/>
      </font>
      <numFmt numFmtId="6" formatCode="#,##0;[Red]\-#,##0"/>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メイリオ"/>
        <scheme val="none"/>
      </font>
      <numFmt numFmtId="6" formatCode="#,##0;[Red]\-#,##0"/>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メイリオ"/>
        <scheme val="none"/>
      </font>
      <numFmt numFmtId="6" formatCode="#,##0;[Red]\-#,##0"/>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メイリオ"/>
        <scheme val="none"/>
      </font>
      <numFmt numFmtId="6" formatCode="#,##0;[Red]\-#,##0"/>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メイリオ"/>
        <scheme val="none"/>
      </font>
      <numFmt numFmtId="6" formatCode="#,##0;[Red]\-#,##0"/>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メイリオ"/>
        <scheme val="none"/>
      </font>
      <numFmt numFmtId="6" formatCode="#,##0;[Red]\-#,##0"/>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メイリオ"/>
        <scheme val="none"/>
      </font>
      <numFmt numFmtId="6" formatCode="#,##0;[Red]\-#,##0"/>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メイリオ"/>
        <scheme val="none"/>
      </font>
      <numFmt numFmtId="6" formatCode="#,##0;[Red]\-#,##0"/>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メイリオ"/>
        <scheme val="none"/>
      </font>
      <numFmt numFmtId="6" formatCode="#,##0;[Red]\-#,##0"/>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メイリオ"/>
        <scheme val="none"/>
      </font>
      <numFmt numFmtId="6" formatCode="#,##0;[Red]\-#,##0"/>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メイリオ"/>
        <scheme val="none"/>
      </font>
      <numFmt numFmtId="6" formatCode="#,##0;[Red]\-#,##0"/>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メイリオ"/>
        <scheme val="none"/>
      </font>
      <numFmt numFmtId="6" formatCode="#,##0;[Red]\-#,##0"/>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メイリオ"/>
        <scheme val="none"/>
      </font>
      <numFmt numFmtId="6" formatCode="#,##0;[Red]\-#,##0"/>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メイリオ"/>
        <scheme val="none"/>
      </font>
      <numFmt numFmtId="6" formatCode="#,##0;[Red]\-#,##0"/>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メイリオ"/>
        <scheme val="none"/>
      </font>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メイリオ"/>
        <scheme val="none"/>
      </font>
    </dxf>
    <dxf>
      <font>
        <b/>
        <i val="0"/>
        <strike val="0"/>
        <condense val="0"/>
        <extend val="0"/>
        <outline val="0"/>
        <shadow val="0"/>
        <u val="none"/>
        <vertAlign val="baseline"/>
        <sz val="11"/>
        <color auto="1"/>
        <name val="メイリオ"/>
        <scheme val="none"/>
      </font>
      <fill>
        <patternFill patternType="solid">
          <fgColor theme="4"/>
          <bgColor theme="4"/>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メイリオ"/>
        <scheme val="none"/>
      </font>
      <numFmt numFmtId="6" formatCode="#,##0;[Red]\-#,##0"/>
    </dxf>
    <dxf>
      <font>
        <b/>
        <i val="0"/>
        <strike val="0"/>
        <condense val="0"/>
        <extend val="0"/>
        <outline val="0"/>
        <shadow val="0"/>
        <u val="none"/>
        <vertAlign val="baseline"/>
        <sz val="11"/>
        <color auto="1"/>
        <name val="メイリオ"/>
        <scheme val="none"/>
      </font>
      <fill>
        <patternFill patternType="solid">
          <fgColor theme="4"/>
          <bgColor theme="4"/>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メイリオ"/>
        <scheme val="none"/>
      </font>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auto="1"/>
        <name val="メイリオ"/>
        <scheme val="none"/>
      </font>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auto="1"/>
        <name val="メイリオ"/>
        <scheme val="none"/>
      </font>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i val="0"/>
        <strike val="0"/>
        <condense val="0"/>
        <extend val="0"/>
        <outline val="0"/>
        <shadow val="0"/>
        <u val="none"/>
        <vertAlign val="baseline"/>
        <sz val="11"/>
        <color auto="1"/>
        <name val="メイリオ"/>
        <scheme val="none"/>
      </font>
      <fill>
        <patternFill patternType="solid">
          <fgColor theme="4"/>
          <bgColor theme="4"/>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メイリオ"/>
        <scheme val="none"/>
      </font>
      <numFmt numFmtId="6" formatCode="#,##0;[Red]\-#,##0"/>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メイリオ"/>
        <scheme val="none"/>
      </font>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i val="0"/>
        <strike val="0"/>
        <condense val="0"/>
        <extend val="0"/>
        <outline val="0"/>
        <shadow val="0"/>
        <u val="none"/>
        <vertAlign val="baseline"/>
        <sz val="11"/>
        <color auto="1"/>
        <name val="メイリオ"/>
        <scheme val="none"/>
      </font>
      <fill>
        <patternFill patternType="solid">
          <fgColor theme="4"/>
          <bgColor theme="4"/>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メイリオ"/>
        <scheme val="none"/>
      </font>
      <fill>
        <patternFill patternType="solid">
          <fgColor indexed="64"/>
          <bgColor theme="0"/>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bottom style="thin">
          <color theme="4" tint="0.39997558519241921"/>
        </bottom>
      </border>
    </dxf>
    <dxf>
      <font>
        <b val="0"/>
        <i val="0"/>
        <strike val="0"/>
        <condense val="0"/>
        <extend val="0"/>
        <outline val="0"/>
        <shadow val="0"/>
        <u val="none"/>
        <vertAlign val="baseline"/>
        <sz val="11"/>
        <color theme="1"/>
        <name val="メイリオ"/>
        <scheme val="none"/>
      </font>
      <border diagonalUp="0" diagonalDown="0">
        <left style="thin">
          <color theme="0"/>
        </left>
        <right/>
        <top style="thin">
          <color theme="4" tint="0.39997558519241921"/>
        </top>
        <bottom/>
        <vertical/>
        <horizontal/>
      </border>
    </dxf>
    <dxf>
      <font>
        <b val="0"/>
        <i val="0"/>
        <strike val="0"/>
        <condense val="0"/>
        <extend val="0"/>
        <outline val="0"/>
        <shadow val="0"/>
        <u val="none"/>
        <vertAlign val="baseline"/>
        <sz val="11"/>
        <color theme="1"/>
        <name val="メイリオ"/>
        <scheme val="none"/>
      </font>
      <numFmt numFmtId="6" formatCode="#,##0;[Red]\-#,##0"/>
      <alignment horizontal="general" vertical="center" textRotation="0" wrapText="0" indent="0" justifyLastLine="0" shrinkToFit="1"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1"/>
        <color theme="1"/>
        <name val="メイリオ"/>
        <scheme val="none"/>
      </font>
      <alignment horizontal="general" vertical="center" textRotation="0" wrapText="0" indent="0" justifyLastLine="0" shrinkToFit="1"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1"/>
        <color auto="1"/>
        <name val="メイリオ"/>
        <scheme val="none"/>
      </font>
      <alignment horizontal="general" vertical="center" textRotation="0" wrapText="0" indent="0" justifyLastLine="0" shrinkToFit="1"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1"/>
        <color auto="1"/>
        <name val="メイリオ"/>
        <scheme val="none"/>
      </font>
      <alignment horizontal="general" vertical="center" textRotation="0" wrapText="0" indent="0" justifyLastLine="0" shrinkToFit="1"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1"/>
        <color auto="1"/>
        <name val="メイリオ"/>
        <scheme val="none"/>
      </font>
      <alignment horizontal="general" vertical="center" textRotation="0" wrapText="0" indent="0" justifyLastLine="0" shrinkToFit="1"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1"/>
        <color auto="1"/>
        <name val="メイリオ"/>
        <scheme val="none"/>
      </font>
      <alignment horizontal="general" vertical="center" textRotation="0" wrapText="0" indent="0" justifyLastLine="0" shrinkToFit="1"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1"/>
        <color auto="1"/>
        <name val="メイリオ"/>
        <scheme val="none"/>
      </font>
      <alignment horizontal="general" vertical="center" textRotation="0" wrapText="0" indent="0" justifyLastLine="0" shrinkToFit="1"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1"/>
        <color auto="1"/>
        <name val="メイリオ"/>
        <scheme val="none"/>
      </font>
      <alignment horizontal="general" vertical="center" textRotation="0" wrapText="0" indent="0" justifyLastLine="0" shrinkToFit="1"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1"/>
        <color auto="1"/>
        <name val="メイリオ"/>
        <scheme val="none"/>
      </font>
      <alignment horizontal="general" vertical="center" textRotation="0" wrapText="0" indent="0" justifyLastLine="0" shrinkToFit="1"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1"/>
        <color auto="1"/>
        <name val="メイリオ"/>
        <scheme val="none"/>
      </font>
      <alignment horizontal="general" vertical="center" textRotation="0" wrapText="0" indent="0" justifyLastLine="0" shrinkToFit="1"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1"/>
        <color auto="1"/>
        <name val="メイリオ"/>
        <scheme val="none"/>
      </font>
      <alignment horizontal="general" vertical="center" textRotation="0" wrapText="0" indent="0" justifyLastLine="0" shrinkToFit="1"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1"/>
        <color auto="1"/>
        <name val="メイリオ"/>
        <scheme val="none"/>
      </font>
      <alignment horizontal="general" vertical="center" textRotation="0" wrapText="0" indent="0" justifyLastLine="0" shrinkToFit="1"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1"/>
        <color auto="1"/>
        <name val="メイリオ"/>
        <scheme val="none"/>
      </font>
      <alignment horizontal="general" vertical="center" textRotation="0" wrapText="0" indent="0" justifyLastLine="0" shrinkToFit="1"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1"/>
        <color auto="1"/>
        <name val="メイリオ"/>
        <scheme val="none"/>
      </font>
      <alignment horizontal="general" vertical="center" textRotation="0" wrapText="0" indent="0" justifyLastLine="0" shrinkToFit="1"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1"/>
        <color auto="1"/>
        <name val="メイリオ"/>
        <scheme val="none"/>
      </font>
      <alignment horizontal="general" vertical="center" textRotation="0" wrapText="0" indent="0" justifyLastLine="0" shrinkToFit="1"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1"/>
        <color auto="1"/>
        <name val="メイリオ"/>
        <scheme val="none"/>
      </font>
      <alignment horizontal="general" vertical="center" textRotation="0" wrapText="0" indent="0" justifyLastLine="0" shrinkToFit="1"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1"/>
        <color auto="1"/>
        <name val="メイリオ"/>
        <scheme val="none"/>
      </font>
      <alignment horizontal="general" vertical="center" textRotation="0" wrapText="0" indent="0" justifyLastLine="0" shrinkToFit="1"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1"/>
        <color auto="1"/>
        <name val="メイリオ"/>
        <scheme val="none"/>
      </font>
      <alignment horizontal="general" vertical="center" textRotation="0" wrapText="0" indent="0" justifyLastLine="0" shrinkToFit="1"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1"/>
        <color auto="1"/>
        <name val="メイリオ"/>
        <scheme val="none"/>
      </font>
      <alignment horizontal="general" vertical="center" textRotation="0" wrapText="0" indent="0" justifyLastLine="0" shrinkToFit="1"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1"/>
        <color auto="1"/>
        <name val="メイリオ"/>
        <scheme val="none"/>
      </font>
      <alignment horizontal="general" vertical="center" textRotation="0" wrapText="0" indent="0" justifyLastLine="0" shrinkToFit="1"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1"/>
        <color auto="1"/>
        <name val="メイリオ"/>
        <scheme val="none"/>
      </font>
      <fill>
        <patternFill patternType="solid">
          <fgColor indexed="64"/>
          <bgColor theme="0"/>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border>
    </dxf>
    <dxf>
      <font>
        <b/>
        <i val="0"/>
        <strike val="0"/>
        <condense val="0"/>
        <extend val="0"/>
        <outline val="0"/>
        <shadow val="0"/>
        <u val="none"/>
        <vertAlign val="baseline"/>
        <sz val="11"/>
        <color auto="1"/>
        <name val="メイリオ"/>
        <scheme val="none"/>
      </font>
      <fill>
        <patternFill patternType="solid">
          <fgColor theme="4"/>
          <bgColor theme="4"/>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numFmt numFmtId="6" formatCode="#,##0;[Red]\-#,##0"/>
      <fill>
        <patternFill patternType="none">
          <fgColor indexed="64"/>
          <bgColor indexed="65"/>
        </patternFill>
      </fill>
    </dxf>
    <dxf>
      <font>
        <b val="0"/>
        <i val="0"/>
        <strike val="0"/>
        <condense val="0"/>
        <extend val="0"/>
        <outline val="0"/>
        <shadow val="0"/>
        <u val="none"/>
        <vertAlign val="baseline"/>
        <sz val="11"/>
        <color auto="1"/>
        <name val="メイリオ"/>
        <scheme val="none"/>
      </font>
      <fill>
        <patternFill patternType="none">
          <fgColor indexed="64"/>
          <bgColor indexed="65"/>
        </patternFill>
      </fill>
    </dxf>
    <dxf>
      <font>
        <b val="0"/>
        <i val="0"/>
        <strike val="0"/>
        <condense val="0"/>
        <extend val="0"/>
        <outline val="0"/>
        <shadow val="0"/>
        <u val="none"/>
        <vertAlign val="baseline"/>
        <sz val="11"/>
        <color auto="1"/>
        <name val="メイリオ"/>
        <scheme val="none"/>
      </font>
      <fill>
        <patternFill patternType="none">
          <fgColor indexed="64"/>
          <bgColor indexed="65"/>
        </patternFill>
      </fill>
    </dxf>
    <dxf>
      <font>
        <b val="0"/>
        <i val="0"/>
        <strike val="0"/>
        <condense val="0"/>
        <extend val="0"/>
        <outline val="0"/>
        <shadow val="0"/>
        <u val="none"/>
        <vertAlign val="baseline"/>
        <sz val="11"/>
        <color auto="1"/>
        <name val="メイリオ"/>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メイリオ"/>
        <scheme val="none"/>
      </font>
      <fill>
        <patternFill patternType="none">
          <fgColor indexed="64"/>
          <bgColor indexed="65"/>
        </patternFill>
      </fill>
    </dxf>
    <dxf>
      <font>
        <b val="0"/>
        <i val="0"/>
        <strike val="0"/>
        <condense val="0"/>
        <extend val="0"/>
        <outline val="0"/>
        <shadow val="0"/>
        <u val="none"/>
        <vertAlign val="baseline"/>
        <sz val="11"/>
        <color theme="1"/>
        <name val="メイリオ"/>
        <scheme val="none"/>
      </font>
      <fill>
        <patternFill patternType="none">
          <fgColor indexed="64"/>
          <bgColor indexed="65"/>
        </patternFill>
      </fill>
    </dxf>
    <dxf>
      <font>
        <b val="0"/>
        <i val="0"/>
        <strike val="0"/>
        <condense val="0"/>
        <extend val="0"/>
        <outline val="0"/>
        <shadow val="0"/>
        <u val="none"/>
        <vertAlign val="baseline"/>
        <sz val="11"/>
        <color theme="1"/>
        <name val="メイリオ"/>
        <scheme val="none"/>
      </font>
      <fill>
        <patternFill patternType="none">
          <fgColor indexed="64"/>
          <bgColor indexed="65"/>
        </patternFill>
      </fill>
    </dxf>
    <dxf>
      <font>
        <b val="0"/>
        <i val="0"/>
        <strike val="0"/>
        <condense val="0"/>
        <extend val="0"/>
        <outline val="0"/>
        <shadow val="0"/>
        <u val="none"/>
        <vertAlign val="baseline"/>
        <sz val="11"/>
        <color theme="1"/>
        <name val="メイリオ"/>
        <scheme val="none"/>
      </font>
      <fill>
        <patternFill patternType="none">
          <fgColor indexed="64"/>
          <bgColor indexed="65"/>
        </patternFill>
      </fill>
    </dxf>
    <dxf>
      <font>
        <b val="0"/>
        <i val="0"/>
        <strike val="0"/>
        <condense val="0"/>
        <extend val="0"/>
        <outline val="0"/>
        <shadow val="0"/>
        <u val="none"/>
        <vertAlign val="baseline"/>
        <sz val="11"/>
        <color theme="1"/>
        <name val="メイリオ"/>
        <scheme val="none"/>
      </font>
      <fill>
        <patternFill patternType="none">
          <fgColor indexed="64"/>
          <bgColor indexed="65"/>
        </patternFill>
      </fill>
    </dxf>
    <dxf>
      <font>
        <b val="0"/>
        <i val="0"/>
        <strike val="0"/>
        <condense val="0"/>
        <extend val="0"/>
        <outline val="0"/>
        <shadow val="0"/>
        <u val="none"/>
        <vertAlign val="baseline"/>
        <sz val="11"/>
        <color theme="1"/>
        <name val="メイリオ"/>
        <scheme val="none"/>
      </font>
      <fill>
        <patternFill patternType="none">
          <fgColor indexed="64"/>
          <bgColor indexed="65"/>
        </patternFill>
      </fill>
    </dxf>
    <dxf>
      <font>
        <b val="0"/>
        <i val="0"/>
        <strike val="0"/>
        <condense val="0"/>
        <extend val="0"/>
        <outline val="0"/>
        <shadow val="0"/>
        <u val="none"/>
        <vertAlign val="baseline"/>
        <sz val="11"/>
        <color theme="1"/>
        <name val="メイリオ"/>
        <scheme val="none"/>
      </font>
      <fill>
        <patternFill patternType="none">
          <fgColor indexed="64"/>
          <bgColor indexed="65"/>
        </patternFill>
      </fill>
    </dxf>
    <dxf>
      <font>
        <b val="0"/>
        <i val="0"/>
        <strike val="0"/>
        <condense val="0"/>
        <extend val="0"/>
        <outline val="0"/>
        <shadow val="0"/>
        <u val="none"/>
        <vertAlign val="baseline"/>
        <sz val="11"/>
        <color theme="1"/>
        <name val="メイリオ"/>
        <scheme val="none"/>
      </font>
      <fill>
        <patternFill patternType="none">
          <fgColor indexed="64"/>
          <bgColor indexed="65"/>
        </patternFill>
      </fill>
    </dxf>
    <dxf>
      <font>
        <b val="0"/>
        <i val="0"/>
        <strike val="0"/>
        <condense val="0"/>
        <extend val="0"/>
        <outline val="0"/>
        <shadow val="0"/>
        <u val="none"/>
        <vertAlign val="baseline"/>
        <sz val="11"/>
        <color theme="1"/>
        <name val="メイリオ"/>
        <scheme val="none"/>
      </font>
      <fill>
        <patternFill patternType="none">
          <fgColor indexed="64"/>
          <bgColor indexed="65"/>
        </patternFill>
      </fill>
    </dxf>
    <dxf>
      <font>
        <b val="0"/>
        <i val="0"/>
        <strike val="0"/>
        <condense val="0"/>
        <extend val="0"/>
        <outline val="0"/>
        <shadow val="0"/>
        <u val="none"/>
        <vertAlign val="baseline"/>
        <sz val="11"/>
        <color theme="1"/>
        <name val="メイリオ"/>
        <scheme val="none"/>
      </font>
      <fill>
        <patternFill patternType="none">
          <fgColor indexed="64"/>
          <bgColor indexed="65"/>
        </patternFill>
      </fill>
    </dxf>
    <dxf>
      <font>
        <b val="0"/>
        <i val="0"/>
        <strike val="0"/>
        <condense val="0"/>
        <extend val="0"/>
        <outline val="0"/>
        <shadow val="0"/>
        <u val="none"/>
        <vertAlign val="baseline"/>
        <sz val="11"/>
        <color theme="1"/>
        <name val="メイリオ"/>
        <scheme val="none"/>
      </font>
      <fill>
        <patternFill patternType="none">
          <fgColor indexed="64"/>
          <bgColor indexed="65"/>
        </patternFill>
      </fill>
    </dxf>
    <dxf>
      <font>
        <b val="0"/>
        <i val="0"/>
        <strike val="0"/>
        <condense val="0"/>
        <extend val="0"/>
        <outline val="0"/>
        <shadow val="0"/>
        <u val="none"/>
        <vertAlign val="baseline"/>
        <sz val="11"/>
        <color theme="1"/>
        <name val="メイリオ"/>
        <scheme val="none"/>
      </font>
      <fill>
        <patternFill patternType="none">
          <fgColor indexed="64"/>
          <bgColor indexed="65"/>
        </patternFill>
      </fill>
    </dxf>
    <dxf>
      <font>
        <b val="0"/>
        <i val="0"/>
        <strike val="0"/>
        <condense val="0"/>
        <extend val="0"/>
        <outline val="0"/>
        <shadow val="0"/>
        <u val="none"/>
        <vertAlign val="baseline"/>
        <sz val="11"/>
        <color theme="1"/>
        <name val="メイリオ"/>
        <scheme val="none"/>
      </font>
      <fill>
        <patternFill patternType="none">
          <fgColor indexed="64"/>
          <bgColor indexed="65"/>
        </patternFill>
      </fill>
    </dxf>
    <dxf>
      <font>
        <b val="0"/>
        <i val="0"/>
        <strike val="0"/>
        <condense val="0"/>
        <extend val="0"/>
        <outline val="0"/>
        <shadow val="0"/>
        <u val="none"/>
        <vertAlign val="baseline"/>
        <sz val="11"/>
        <color theme="1"/>
        <name val="メイリオ"/>
        <scheme val="none"/>
      </font>
      <fill>
        <patternFill patternType="none">
          <fgColor indexed="64"/>
          <bgColor indexed="65"/>
        </patternFill>
      </fill>
    </dxf>
    <dxf>
      <font>
        <b val="0"/>
        <i val="0"/>
        <strike val="0"/>
        <condense val="0"/>
        <extend val="0"/>
        <outline val="0"/>
        <shadow val="0"/>
        <u val="none"/>
        <vertAlign val="baseline"/>
        <sz val="11"/>
        <color theme="1"/>
        <name val="メイリオ"/>
        <scheme val="none"/>
      </font>
      <fill>
        <patternFill patternType="none">
          <fgColor indexed="64"/>
          <bgColor indexed="65"/>
        </patternFill>
      </fill>
    </dxf>
    <dxf>
      <font>
        <b val="0"/>
        <i val="0"/>
        <strike val="0"/>
        <condense val="0"/>
        <extend val="0"/>
        <outline val="0"/>
        <shadow val="0"/>
        <u val="none"/>
        <vertAlign val="baseline"/>
        <sz val="11"/>
        <color theme="1"/>
        <name val="メイリオ"/>
        <scheme val="none"/>
      </font>
      <fill>
        <patternFill patternType="none">
          <fgColor indexed="64"/>
          <bgColor indexed="65"/>
        </patternFill>
      </fill>
    </dxf>
    <dxf>
      <font>
        <b val="0"/>
        <i val="0"/>
        <strike val="0"/>
        <condense val="0"/>
        <extend val="0"/>
        <outline val="0"/>
        <shadow val="0"/>
        <u val="none"/>
        <vertAlign val="baseline"/>
        <sz val="11"/>
        <color theme="1"/>
        <name val="メイリオ"/>
        <scheme val="none"/>
      </font>
      <fill>
        <patternFill patternType="none">
          <fgColor indexed="64"/>
          <bgColor indexed="65"/>
        </patternFill>
      </fill>
    </dxf>
    <dxf>
      <font>
        <b val="0"/>
        <i val="0"/>
        <strike val="0"/>
        <condense val="0"/>
        <extend val="0"/>
        <outline val="0"/>
        <shadow val="0"/>
        <u val="none"/>
        <vertAlign val="baseline"/>
        <sz val="11"/>
        <color theme="1"/>
        <name val="メイリオ"/>
        <scheme val="none"/>
      </font>
      <fill>
        <patternFill patternType="none">
          <fgColor indexed="64"/>
          <bgColor indexed="65"/>
        </patternFill>
      </fill>
    </dxf>
    <dxf>
      <font>
        <b val="0"/>
        <i val="0"/>
        <strike val="0"/>
        <condense val="0"/>
        <extend val="0"/>
        <outline val="0"/>
        <shadow val="0"/>
        <u val="none"/>
        <vertAlign val="baseline"/>
        <sz val="11"/>
        <color theme="1"/>
        <name val="メイリオ"/>
        <scheme val="none"/>
      </font>
      <fill>
        <patternFill patternType="none">
          <fgColor indexed="64"/>
          <bgColor indexed="65"/>
        </patternFill>
      </fill>
    </dxf>
    <dxf>
      <font>
        <b val="0"/>
        <i val="0"/>
        <strike val="0"/>
        <condense val="0"/>
        <extend val="0"/>
        <outline val="0"/>
        <shadow val="0"/>
        <u val="none"/>
        <vertAlign val="baseline"/>
        <sz val="11"/>
        <color auto="1"/>
        <name val="メイリオ"/>
        <scheme val="none"/>
      </font>
      <fill>
        <patternFill patternType="none">
          <fgColor indexed="64"/>
          <bgColor indexed="65"/>
        </patternFill>
      </fill>
    </dxf>
    <dxf>
      <font>
        <b val="0"/>
        <i val="0"/>
        <strike val="0"/>
        <condense val="0"/>
        <extend val="0"/>
        <outline val="0"/>
        <shadow val="0"/>
        <u val="none"/>
        <vertAlign val="baseline"/>
        <sz val="11"/>
        <color theme="1"/>
        <name val="メイリオ"/>
        <scheme val="none"/>
      </font>
      <fill>
        <patternFill patternType="none">
          <fgColor indexed="64"/>
          <bgColor indexed="65"/>
        </patternFill>
      </fill>
    </dxf>
    <dxf>
      <font>
        <b val="0"/>
        <i val="0"/>
        <strike val="0"/>
        <condense val="0"/>
        <extend val="0"/>
        <outline val="0"/>
        <shadow val="0"/>
        <u val="none"/>
        <vertAlign val="baseline"/>
        <sz val="11"/>
        <color theme="0"/>
        <name val="メイリオ"/>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メイリオ"/>
        <scheme val="none"/>
      </font>
      <fill>
        <patternFill patternType="none">
          <fgColor indexed="64"/>
          <bgColor indexed="65"/>
        </patternFill>
      </fill>
    </dxf>
    <dxf>
      <font>
        <b val="0"/>
        <i val="0"/>
        <strike val="0"/>
        <condense val="0"/>
        <extend val="0"/>
        <outline val="0"/>
        <shadow val="0"/>
        <u val="none"/>
        <vertAlign val="baseline"/>
        <sz val="11"/>
        <color theme="1"/>
        <name val="メイリオ"/>
        <scheme val="none"/>
      </font>
      <fill>
        <patternFill patternType="none">
          <fgColor indexed="64"/>
          <bgColor indexed="65"/>
        </patternFill>
      </fill>
    </dxf>
    <dxf>
      <font>
        <b val="0"/>
        <i val="0"/>
        <strike val="0"/>
        <condense val="0"/>
        <extend val="0"/>
        <outline val="0"/>
        <shadow val="0"/>
        <u val="none"/>
        <vertAlign val="baseline"/>
        <sz val="11"/>
        <color theme="1"/>
        <name val="メイリオ"/>
        <scheme val="none"/>
      </font>
      <fill>
        <patternFill patternType="none">
          <fgColor indexed="64"/>
          <bgColor indexed="65"/>
        </patternFill>
      </fill>
    </dxf>
    <dxf>
      <font>
        <b val="0"/>
        <i val="0"/>
        <strike val="0"/>
        <condense val="0"/>
        <extend val="0"/>
        <outline val="0"/>
        <shadow val="0"/>
        <u val="none"/>
        <vertAlign val="baseline"/>
        <sz val="11"/>
        <color theme="1"/>
        <name val="メイリオ"/>
        <scheme val="none"/>
      </font>
      <fill>
        <patternFill patternType="none">
          <fgColor indexed="64"/>
          <bgColor indexed="65"/>
        </patternFill>
      </fill>
    </dxf>
    <dxf>
      <font>
        <b val="0"/>
        <i val="0"/>
        <strike val="0"/>
        <condense val="0"/>
        <extend val="0"/>
        <outline val="0"/>
        <shadow val="0"/>
        <u val="none"/>
        <vertAlign val="baseline"/>
        <sz val="11"/>
        <color theme="1"/>
        <name val="メイリオ"/>
        <scheme val="none"/>
      </font>
      <fill>
        <patternFill patternType="none">
          <fgColor indexed="64"/>
          <bgColor indexed="65"/>
        </patternFill>
      </fill>
    </dxf>
    <dxf>
      <font>
        <b val="0"/>
        <i val="0"/>
        <strike val="0"/>
        <condense val="0"/>
        <extend val="0"/>
        <outline val="0"/>
        <shadow val="0"/>
        <u val="none"/>
        <vertAlign val="baseline"/>
        <sz val="11"/>
        <color theme="1"/>
        <name val="メイリオ"/>
        <scheme val="none"/>
      </font>
      <fill>
        <patternFill patternType="none">
          <fgColor indexed="64"/>
          <bgColor indexed="65"/>
        </patternFill>
      </fill>
    </dxf>
    <dxf>
      <font>
        <b val="0"/>
        <i val="0"/>
        <strike val="0"/>
        <condense val="0"/>
        <extend val="0"/>
        <outline val="0"/>
        <shadow val="0"/>
        <u val="none"/>
        <vertAlign val="baseline"/>
        <sz val="11"/>
        <color theme="1"/>
        <name val="メイリオ"/>
        <scheme val="none"/>
      </font>
      <fill>
        <patternFill patternType="none">
          <fgColor indexed="64"/>
          <bgColor indexed="65"/>
        </patternFill>
      </fill>
    </dxf>
    <dxf>
      <font>
        <b val="0"/>
        <i val="0"/>
        <strike val="0"/>
        <condense val="0"/>
        <extend val="0"/>
        <outline val="0"/>
        <shadow val="0"/>
        <u val="none"/>
        <vertAlign val="baseline"/>
        <sz val="11"/>
        <color theme="1"/>
        <name val="メイリオ"/>
        <scheme val="none"/>
      </font>
      <fill>
        <patternFill patternType="none">
          <fgColor indexed="64"/>
          <bgColor indexed="65"/>
        </patternFill>
      </fill>
    </dxf>
    <dxf>
      <font>
        <b val="0"/>
        <i val="0"/>
        <strike val="0"/>
        <condense val="0"/>
        <extend val="0"/>
        <outline val="0"/>
        <shadow val="0"/>
        <u val="none"/>
        <vertAlign val="baseline"/>
        <sz val="11"/>
        <color theme="1"/>
        <name val="メイリオ"/>
        <scheme val="none"/>
      </font>
      <fill>
        <patternFill patternType="none">
          <fgColor indexed="64"/>
          <bgColor indexed="65"/>
        </patternFill>
      </fill>
    </dxf>
    <dxf>
      <font>
        <b val="0"/>
        <i val="0"/>
        <strike val="0"/>
        <condense val="0"/>
        <extend val="0"/>
        <outline val="0"/>
        <shadow val="0"/>
        <u val="none"/>
        <vertAlign val="baseline"/>
        <sz val="11"/>
        <color theme="1"/>
        <name val="メイリオ"/>
        <scheme val="none"/>
      </font>
      <fill>
        <patternFill patternType="none">
          <fgColor indexed="64"/>
          <bgColor indexed="65"/>
        </patternFill>
      </fill>
    </dxf>
    <dxf>
      <font>
        <b val="0"/>
        <i val="0"/>
        <strike val="0"/>
        <condense val="0"/>
        <extend val="0"/>
        <outline val="0"/>
        <shadow val="0"/>
        <u val="none"/>
        <vertAlign val="baseline"/>
        <sz val="11"/>
        <color theme="1"/>
        <name val="メイリオ"/>
        <scheme val="none"/>
      </font>
      <fill>
        <patternFill patternType="none">
          <fgColor indexed="64"/>
          <bgColor indexed="65"/>
        </patternFill>
      </fill>
    </dxf>
    <dxf>
      <font>
        <b val="0"/>
        <i val="0"/>
        <strike val="0"/>
        <condense val="0"/>
        <extend val="0"/>
        <outline val="0"/>
        <shadow val="0"/>
        <u val="none"/>
        <vertAlign val="baseline"/>
        <sz val="11"/>
        <color theme="1"/>
        <name val="メイリオ"/>
        <scheme val="none"/>
      </font>
      <fill>
        <patternFill patternType="none">
          <fgColor indexed="64"/>
          <bgColor indexed="65"/>
        </patternFill>
      </fill>
    </dxf>
    <dxf>
      <font>
        <b val="0"/>
        <i val="0"/>
        <strike val="0"/>
        <condense val="0"/>
        <extend val="0"/>
        <outline val="0"/>
        <shadow val="0"/>
        <u val="none"/>
        <vertAlign val="baseline"/>
        <sz val="11"/>
        <color theme="1"/>
        <name val="メイリオ"/>
        <scheme val="none"/>
      </font>
      <fill>
        <patternFill patternType="none">
          <fgColor indexed="64"/>
          <bgColor indexed="65"/>
        </patternFill>
      </fill>
    </dxf>
    <dxf>
      <font>
        <b val="0"/>
        <i val="0"/>
        <strike val="0"/>
        <condense val="0"/>
        <extend val="0"/>
        <outline val="0"/>
        <shadow val="0"/>
        <u val="none"/>
        <vertAlign val="baseline"/>
        <sz val="11"/>
        <color theme="1"/>
        <name val="メイリオ"/>
        <scheme val="none"/>
      </font>
      <fill>
        <patternFill patternType="none">
          <fgColor indexed="64"/>
          <bgColor indexed="65"/>
        </patternFill>
      </fill>
    </dxf>
    <dxf>
      <font>
        <b val="0"/>
        <i val="0"/>
        <strike val="0"/>
        <condense val="0"/>
        <extend val="0"/>
        <outline val="0"/>
        <shadow val="0"/>
        <u val="none"/>
        <vertAlign val="baseline"/>
        <sz val="11"/>
        <color theme="1"/>
        <name val="メイリオ"/>
        <scheme val="none"/>
      </font>
      <fill>
        <patternFill patternType="none">
          <fgColor indexed="64"/>
          <bgColor indexed="65"/>
        </patternFill>
      </fill>
    </dxf>
    <dxf>
      <font>
        <b val="0"/>
        <i val="0"/>
        <strike val="0"/>
        <condense val="0"/>
        <extend val="0"/>
        <outline val="0"/>
        <shadow val="0"/>
        <u val="none"/>
        <vertAlign val="baseline"/>
        <sz val="11"/>
        <color theme="1"/>
        <name val="メイリオ"/>
        <scheme val="none"/>
      </font>
      <fill>
        <patternFill patternType="none">
          <fgColor indexed="64"/>
          <bgColor indexed="65"/>
        </patternFill>
      </fill>
    </dxf>
    <dxf>
      <font>
        <b val="0"/>
        <i val="0"/>
        <strike val="0"/>
        <condense val="0"/>
        <extend val="0"/>
        <outline val="0"/>
        <shadow val="0"/>
        <u val="none"/>
        <vertAlign val="baseline"/>
        <sz val="11"/>
        <color theme="1"/>
        <name val="メイリオ"/>
        <scheme val="none"/>
      </font>
      <fill>
        <patternFill patternType="none">
          <fgColor indexed="64"/>
          <bgColor indexed="65"/>
        </patternFill>
      </fill>
    </dxf>
    <dxf>
      <font>
        <b val="0"/>
        <i val="0"/>
        <strike val="0"/>
        <condense val="0"/>
        <extend val="0"/>
        <outline val="0"/>
        <shadow val="0"/>
        <u val="none"/>
        <vertAlign val="baseline"/>
        <sz val="11"/>
        <color theme="1"/>
        <name val="メイリオ"/>
        <scheme val="none"/>
      </font>
      <fill>
        <patternFill patternType="none">
          <fgColor indexed="64"/>
          <bgColor indexed="65"/>
        </patternFill>
      </fill>
    </dxf>
    <dxf>
      <font>
        <b val="0"/>
        <i val="0"/>
        <strike val="0"/>
        <condense val="0"/>
        <extend val="0"/>
        <outline val="0"/>
        <shadow val="0"/>
        <u val="none"/>
        <vertAlign val="baseline"/>
        <sz val="11"/>
        <color theme="1"/>
        <name val="メイリオ"/>
        <scheme val="none"/>
      </font>
      <fill>
        <patternFill patternType="none">
          <fgColor indexed="64"/>
          <bgColor indexed="65"/>
        </patternFill>
      </fill>
    </dxf>
    <dxf>
      <font>
        <b val="0"/>
        <i val="0"/>
        <strike val="0"/>
        <condense val="0"/>
        <extend val="0"/>
        <outline val="0"/>
        <shadow val="0"/>
        <u val="none"/>
        <vertAlign val="baseline"/>
        <sz val="11"/>
        <color auto="1"/>
        <name val="メイリオ"/>
        <scheme val="none"/>
      </font>
      <fill>
        <patternFill patternType="none">
          <fgColor indexed="64"/>
          <bgColor indexed="65"/>
        </patternFill>
      </fill>
    </dxf>
    <dxf>
      <font>
        <b val="0"/>
        <i val="0"/>
        <strike val="0"/>
        <condense val="0"/>
        <extend val="0"/>
        <outline val="0"/>
        <shadow val="0"/>
        <u val="none"/>
        <vertAlign val="baseline"/>
        <sz val="11"/>
        <color theme="1"/>
        <name val="メイリオ"/>
        <scheme val="none"/>
      </font>
      <fill>
        <patternFill patternType="none">
          <fgColor indexed="64"/>
          <bgColor indexed="65"/>
        </patternFill>
      </fill>
    </dxf>
    <dxf>
      <font>
        <b val="0"/>
        <i val="0"/>
        <strike val="0"/>
        <condense val="0"/>
        <extend val="0"/>
        <outline val="0"/>
        <shadow val="0"/>
        <u val="none"/>
        <vertAlign val="baseline"/>
        <sz val="11"/>
        <color theme="0"/>
        <name val="メイリオ"/>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メイリオ"/>
        <scheme val="none"/>
      </font>
      <numFmt numFmtId="6" formatCode="#,##0;[Red]\-#,##0"/>
      <fill>
        <patternFill patternType="solid">
          <fgColor indexed="64"/>
          <bgColor theme="0"/>
        </patternFill>
      </fill>
    </dxf>
    <dxf>
      <font>
        <b val="0"/>
        <i val="0"/>
        <strike val="0"/>
        <condense val="0"/>
        <extend val="0"/>
        <outline val="0"/>
        <shadow val="0"/>
        <u val="none"/>
        <vertAlign val="baseline"/>
        <sz val="11"/>
        <color auto="1"/>
        <name val="メイリオ"/>
        <scheme val="none"/>
      </font>
      <fill>
        <patternFill patternType="solid">
          <fgColor indexed="64"/>
          <bgColor theme="0"/>
        </patternFill>
      </fill>
    </dxf>
    <dxf>
      <font>
        <b val="0"/>
        <i val="0"/>
        <strike val="0"/>
        <condense val="0"/>
        <extend val="0"/>
        <outline val="0"/>
        <shadow val="0"/>
        <u val="none"/>
        <vertAlign val="baseline"/>
        <sz val="11"/>
        <color auto="1"/>
        <name val="メイリオ"/>
        <scheme val="none"/>
      </font>
      <numFmt numFmtId="6" formatCode="#,##0;[Red]\-#,##0"/>
      <fill>
        <patternFill patternType="solid">
          <fgColor indexed="64"/>
          <bgColor theme="0"/>
        </patternFill>
      </fill>
    </dxf>
    <dxf>
      <font>
        <b val="0"/>
        <i val="0"/>
        <strike val="0"/>
        <condense val="0"/>
        <extend val="0"/>
        <outline val="0"/>
        <shadow val="0"/>
        <u val="none"/>
        <vertAlign val="baseline"/>
        <sz val="11"/>
        <color auto="1"/>
        <name val="メイリオ"/>
        <scheme val="none"/>
      </font>
      <numFmt numFmtId="6" formatCode="#,##0;[Red]\-#,##0"/>
      <fill>
        <patternFill patternType="solid">
          <fgColor indexed="64"/>
          <bgColor theme="0"/>
        </patternFill>
      </fill>
    </dxf>
    <dxf>
      <font>
        <b val="0"/>
        <i val="0"/>
        <strike val="0"/>
        <condense val="0"/>
        <extend val="0"/>
        <outline val="0"/>
        <shadow val="0"/>
        <u val="none"/>
        <vertAlign val="baseline"/>
        <sz val="11"/>
        <color auto="1"/>
        <name val="メイリオ"/>
        <scheme val="none"/>
      </font>
      <numFmt numFmtId="6" formatCode="#,##0;[Red]\-#,##0"/>
      <fill>
        <patternFill patternType="solid">
          <fgColor indexed="64"/>
          <bgColor theme="0"/>
        </patternFill>
      </fill>
    </dxf>
    <dxf>
      <font>
        <b val="0"/>
        <i val="0"/>
        <strike val="0"/>
        <condense val="0"/>
        <extend val="0"/>
        <outline val="0"/>
        <shadow val="0"/>
        <u val="none"/>
        <vertAlign val="baseline"/>
        <sz val="11"/>
        <color auto="1"/>
        <name val="メイリオ"/>
        <scheme val="none"/>
      </font>
      <numFmt numFmtId="6" formatCode="#,##0;[Red]\-#,##0"/>
      <fill>
        <patternFill patternType="solid">
          <fgColor indexed="64"/>
          <bgColor theme="0"/>
        </patternFill>
      </fill>
    </dxf>
    <dxf>
      <font>
        <b val="0"/>
        <i val="0"/>
        <strike val="0"/>
        <condense val="0"/>
        <extend val="0"/>
        <outline val="0"/>
        <shadow val="0"/>
        <u val="none"/>
        <vertAlign val="baseline"/>
        <sz val="11"/>
        <color auto="1"/>
        <name val="メイリオ"/>
        <scheme val="none"/>
      </font>
      <numFmt numFmtId="6" formatCode="#,##0;[Red]\-#,##0"/>
      <fill>
        <patternFill patternType="solid">
          <fgColor indexed="64"/>
          <bgColor theme="0"/>
        </patternFill>
      </fill>
    </dxf>
    <dxf>
      <font>
        <b val="0"/>
        <i val="0"/>
        <strike val="0"/>
        <condense val="0"/>
        <extend val="0"/>
        <outline val="0"/>
        <shadow val="0"/>
        <u val="none"/>
        <vertAlign val="baseline"/>
        <sz val="11"/>
        <color auto="1"/>
        <name val="メイリオ"/>
        <scheme val="none"/>
      </font>
      <numFmt numFmtId="6" formatCode="#,##0;[Red]\-#,##0"/>
      <fill>
        <patternFill patternType="solid">
          <fgColor indexed="64"/>
          <bgColor theme="0"/>
        </patternFill>
      </fill>
    </dxf>
    <dxf>
      <font>
        <b val="0"/>
        <i val="0"/>
        <strike val="0"/>
        <condense val="0"/>
        <extend val="0"/>
        <outline val="0"/>
        <shadow val="0"/>
        <u val="none"/>
        <vertAlign val="baseline"/>
        <sz val="11"/>
        <color auto="1"/>
        <name val="メイリオ"/>
        <scheme val="none"/>
      </font>
      <numFmt numFmtId="6" formatCode="#,##0;[Red]\-#,##0"/>
      <fill>
        <patternFill patternType="solid">
          <fgColor indexed="64"/>
          <bgColor theme="0"/>
        </patternFill>
      </fill>
    </dxf>
    <dxf>
      <font>
        <b val="0"/>
        <i val="0"/>
        <strike val="0"/>
        <condense val="0"/>
        <extend val="0"/>
        <outline val="0"/>
        <shadow val="0"/>
        <u val="none"/>
        <vertAlign val="baseline"/>
        <sz val="11"/>
        <color auto="1"/>
        <name val="メイリオ"/>
        <scheme val="none"/>
      </font>
      <numFmt numFmtId="6" formatCode="#,##0;[Red]\-#,##0"/>
      <fill>
        <patternFill patternType="solid">
          <fgColor indexed="64"/>
          <bgColor theme="0"/>
        </patternFill>
      </fill>
    </dxf>
    <dxf>
      <font>
        <b val="0"/>
        <i val="0"/>
        <strike val="0"/>
        <condense val="0"/>
        <extend val="0"/>
        <outline val="0"/>
        <shadow val="0"/>
        <u val="none"/>
        <vertAlign val="baseline"/>
        <sz val="11"/>
        <color auto="1"/>
        <name val="メイリオ"/>
        <scheme val="none"/>
      </font>
      <numFmt numFmtId="6" formatCode="#,##0;[Red]\-#,##0"/>
      <fill>
        <patternFill patternType="solid">
          <fgColor indexed="64"/>
          <bgColor theme="0"/>
        </patternFill>
      </fill>
    </dxf>
    <dxf>
      <font>
        <b val="0"/>
        <i val="0"/>
        <strike val="0"/>
        <condense val="0"/>
        <extend val="0"/>
        <outline val="0"/>
        <shadow val="0"/>
        <u val="none"/>
        <vertAlign val="baseline"/>
        <sz val="11"/>
        <color auto="1"/>
        <name val="メイリオ"/>
        <scheme val="none"/>
      </font>
      <numFmt numFmtId="6" formatCode="#,##0;[Red]\-#,##0"/>
      <fill>
        <patternFill patternType="solid">
          <fgColor indexed="64"/>
          <bgColor theme="0"/>
        </patternFill>
      </fill>
    </dxf>
    <dxf>
      <font>
        <b val="0"/>
        <i val="0"/>
        <strike val="0"/>
        <condense val="0"/>
        <extend val="0"/>
        <outline val="0"/>
        <shadow val="0"/>
        <u val="none"/>
        <vertAlign val="baseline"/>
        <sz val="11"/>
        <color auto="1"/>
        <name val="メイリオ"/>
        <scheme val="none"/>
      </font>
      <numFmt numFmtId="6" formatCode="#,##0;[Red]\-#,##0"/>
      <fill>
        <patternFill patternType="solid">
          <fgColor indexed="64"/>
          <bgColor theme="0"/>
        </patternFill>
      </fill>
    </dxf>
    <dxf>
      <font>
        <b val="0"/>
        <i val="0"/>
        <strike val="0"/>
        <condense val="0"/>
        <extend val="0"/>
        <outline val="0"/>
        <shadow val="0"/>
        <u val="none"/>
        <vertAlign val="baseline"/>
        <sz val="11"/>
        <color auto="1"/>
        <name val="メイリオ"/>
        <scheme val="none"/>
      </font>
      <numFmt numFmtId="6" formatCode="#,##0;[Red]\-#,##0"/>
      <fill>
        <patternFill patternType="solid">
          <fgColor indexed="64"/>
          <bgColor theme="0"/>
        </patternFill>
      </fill>
    </dxf>
    <dxf>
      <font>
        <b val="0"/>
        <i val="0"/>
        <strike val="0"/>
        <condense val="0"/>
        <extend val="0"/>
        <outline val="0"/>
        <shadow val="0"/>
        <u val="none"/>
        <vertAlign val="baseline"/>
        <sz val="11"/>
        <color auto="1"/>
        <name val="メイリオ"/>
        <scheme val="none"/>
      </font>
      <numFmt numFmtId="6" formatCode="#,##0;[Red]\-#,##0"/>
      <fill>
        <patternFill patternType="solid">
          <fgColor indexed="64"/>
          <bgColor theme="0"/>
        </patternFill>
      </fill>
    </dxf>
    <dxf>
      <font>
        <b val="0"/>
        <i val="0"/>
        <strike val="0"/>
        <condense val="0"/>
        <extend val="0"/>
        <outline val="0"/>
        <shadow val="0"/>
        <u val="none"/>
        <vertAlign val="baseline"/>
        <sz val="11"/>
        <color auto="1"/>
        <name val="メイリオ"/>
        <scheme val="none"/>
      </font>
      <numFmt numFmtId="6" formatCode="#,##0;[Red]\-#,##0"/>
      <fill>
        <patternFill patternType="solid">
          <fgColor indexed="64"/>
          <bgColor theme="0"/>
        </patternFill>
      </fill>
    </dxf>
    <dxf>
      <font>
        <b val="0"/>
        <i val="0"/>
        <strike val="0"/>
        <condense val="0"/>
        <extend val="0"/>
        <outline val="0"/>
        <shadow val="0"/>
        <u val="none"/>
        <vertAlign val="baseline"/>
        <sz val="11"/>
        <color auto="1"/>
        <name val="メイリオ"/>
        <scheme val="none"/>
      </font>
      <numFmt numFmtId="6" formatCode="#,##0;[Red]\-#,##0"/>
      <fill>
        <patternFill patternType="solid">
          <fgColor indexed="64"/>
          <bgColor theme="0"/>
        </patternFill>
      </fill>
    </dxf>
    <dxf>
      <font>
        <b val="0"/>
        <i val="0"/>
        <strike val="0"/>
        <condense val="0"/>
        <extend val="0"/>
        <outline val="0"/>
        <shadow val="0"/>
        <u val="none"/>
        <vertAlign val="baseline"/>
        <sz val="11"/>
        <color auto="1"/>
        <name val="メイリオ"/>
        <scheme val="none"/>
      </font>
      <numFmt numFmtId="6" formatCode="#,##0;[Red]\-#,##0"/>
      <fill>
        <patternFill patternType="solid">
          <fgColor indexed="64"/>
          <bgColor theme="0"/>
        </patternFill>
      </fill>
    </dxf>
    <dxf>
      <font>
        <b val="0"/>
        <i val="0"/>
        <strike val="0"/>
        <condense val="0"/>
        <extend val="0"/>
        <outline val="0"/>
        <shadow val="0"/>
        <u val="none"/>
        <vertAlign val="baseline"/>
        <sz val="11"/>
        <color auto="1"/>
        <name val="メイリオ"/>
        <scheme val="none"/>
      </font>
      <numFmt numFmtId="6" formatCode="#,##0;[Red]\-#,##0"/>
      <fill>
        <patternFill patternType="solid">
          <fgColor indexed="64"/>
          <bgColor theme="0"/>
        </patternFill>
      </fill>
    </dxf>
    <dxf>
      <font>
        <b val="0"/>
        <i val="0"/>
        <strike val="0"/>
        <condense val="0"/>
        <extend val="0"/>
        <outline val="0"/>
        <shadow val="0"/>
        <u val="none"/>
        <vertAlign val="baseline"/>
        <sz val="11"/>
        <color auto="1"/>
        <name val="メイリオ"/>
        <scheme val="none"/>
      </font>
      <numFmt numFmtId="6" formatCode="#,##0;[Red]\-#,##0"/>
      <fill>
        <patternFill patternType="solid">
          <fgColor indexed="64"/>
          <bgColor theme="0"/>
        </patternFill>
      </fill>
    </dxf>
    <dxf>
      <font>
        <b val="0"/>
        <i val="0"/>
        <strike val="0"/>
        <condense val="0"/>
        <extend val="0"/>
        <outline val="0"/>
        <shadow val="0"/>
        <u val="none"/>
        <vertAlign val="baseline"/>
        <sz val="11"/>
        <color auto="1"/>
        <name val="メイリオ"/>
        <scheme val="none"/>
      </font>
      <fill>
        <patternFill patternType="solid">
          <fgColor indexed="64"/>
          <bgColor theme="0"/>
        </patternFill>
      </fill>
    </dxf>
    <dxf>
      <font>
        <b val="0"/>
        <i val="0"/>
        <strike val="0"/>
        <condense val="0"/>
        <extend val="0"/>
        <outline val="0"/>
        <shadow val="0"/>
        <u val="none"/>
        <vertAlign val="baseline"/>
        <sz val="11"/>
        <color auto="1"/>
        <name val="メイリオ"/>
        <scheme val="none"/>
      </font>
      <fill>
        <patternFill patternType="solid">
          <fgColor indexed="64"/>
          <bgColor theme="0"/>
        </patternFill>
      </fill>
    </dxf>
    <dxf>
      <font>
        <b val="0"/>
        <i val="0"/>
        <strike val="0"/>
        <condense val="0"/>
        <extend val="0"/>
        <outline val="0"/>
        <shadow val="0"/>
        <u val="none"/>
        <vertAlign val="baseline"/>
        <sz val="11"/>
        <color auto="1"/>
        <name val="メイリオ"/>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メイリオ"/>
        <scheme val="none"/>
      </font>
      <numFmt numFmtId="6" formatCode="#,##0;[Red]\-#,##0"/>
      <fill>
        <patternFill patternType="solid">
          <fgColor indexed="64"/>
          <bgColor theme="0"/>
        </patternFill>
      </fill>
      <border diagonalUp="0" diagonalDown="0">
        <left style="thin">
          <color theme="8"/>
        </left>
        <right/>
        <top style="thin">
          <color theme="8"/>
        </top>
        <bottom style="thin">
          <color theme="8"/>
        </bottom>
        <vertical/>
        <horizontal/>
      </border>
    </dxf>
    <dxf>
      <font>
        <b val="0"/>
        <i val="0"/>
        <strike val="0"/>
        <condense val="0"/>
        <extend val="0"/>
        <outline val="0"/>
        <shadow val="0"/>
        <u val="none"/>
        <vertAlign val="baseline"/>
        <sz val="11"/>
        <color auto="1"/>
        <name val="メイリオ"/>
        <scheme val="none"/>
      </font>
      <fill>
        <patternFill patternType="solid">
          <fgColor indexed="64"/>
          <bgColor theme="0"/>
        </patternFill>
      </fill>
      <border diagonalUp="0" diagonalDown="0">
        <left style="thin">
          <color theme="8"/>
        </left>
        <right style="thin">
          <color theme="8"/>
        </right>
        <top style="thin">
          <color theme="8"/>
        </top>
        <bottom style="thin">
          <color theme="8"/>
        </bottom>
        <vertical/>
        <horizontal/>
      </border>
    </dxf>
    <dxf>
      <font>
        <b val="0"/>
        <i val="0"/>
        <strike val="0"/>
        <condense val="0"/>
        <extend val="0"/>
        <outline val="0"/>
        <shadow val="0"/>
        <u val="none"/>
        <vertAlign val="baseline"/>
        <sz val="11"/>
        <color auto="1"/>
        <name val="メイリオ"/>
        <scheme val="none"/>
      </font>
      <numFmt numFmtId="6" formatCode="#,##0;[Red]\-#,##0"/>
      <fill>
        <patternFill patternType="solid">
          <fgColor indexed="64"/>
          <bgColor theme="0"/>
        </patternFill>
      </fill>
      <border diagonalUp="0" diagonalDown="0">
        <left style="thin">
          <color theme="8"/>
        </left>
        <right style="thin">
          <color theme="8"/>
        </right>
        <top style="thin">
          <color theme="8"/>
        </top>
        <bottom style="thin">
          <color theme="8"/>
        </bottom>
        <vertical/>
        <horizontal/>
      </border>
    </dxf>
    <dxf>
      <font>
        <b val="0"/>
        <i val="0"/>
        <strike val="0"/>
        <condense val="0"/>
        <extend val="0"/>
        <outline val="0"/>
        <shadow val="0"/>
        <u val="none"/>
        <vertAlign val="baseline"/>
        <sz val="11"/>
        <color auto="1"/>
        <name val="メイリオ"/>
        <scheme val="none"/>
      </font>
      <numFmt numFmtId="6" formatCode="#,##0;[Red]\-#,##0"/>
      <fill>
        <patternFill patternType="solid">
          <fgColor indexed="64"/>
          <bgColor theme="0"/>
        </patternFill>
      </fill>
      <border diagonalUp="0" diagonalDown="0">
        <left style="thin">
          <color theme="8"/>
        </left>
        <right style="thin">
          <color theme="8"/>
        </right>
        <top style="thin">
          <color theme="8"/>
        </top>
        <bottom style="thin">
          <color theme="8"/>
        </bottom>
        <vertical/>
        <horizontal/>
      </border>
    </dxf>
    <dxf>
      <font>
        <b val="0"/>
        <i val="0"/>
        <strike val="0"/>
        <condense val="0"/>
        <extend val="0"/>
        <outline val="0"/>
        <shadow val="0"/>
        <u val="none"/>
        <vertAlign val="baseline"/>
        <sz val="11"/>
        <color auto="1"/>
        <name val="メイリオ"/>
        <scheme val="none"/>
      </font>
      <numFmt numFmtId="6" formatCode="#,##0;[Red]\-#,##0"/>
      <fill>
        <patternFill patternType="solid">
          <fgColor indexed="64"/>
          <bgColor theme="0"/>
        </patternFill>
      </fill>
      <border diagonalUp="0" diagonalDown="0">
        <left style="thin">
          <color theme="8"/>
        </left>
        <right style="thin">
          <color theme="8"/>
        </right>
        <top style="thin">
          <color theme="8"/>
        </top>
        <bottom style="thin">
          <color theme="8"/>
        </bottom>
        <vertical/>
        <horizontal/>
      </border>
    </dxf>
    <dxf>
      <font>
        <b val="0"/>
        <i val="0"/>
        <strike val="0"/>
        <condense val="0"/>
        <extend val="0"/>
        <outline val="0"/>
        <shadow val="0"/>
        <u val="none"/>
        <vertAlign val="baseline"/>
        <sz val="11"/>
        <color auto="1"/>
        <name val="メイリオ"/>
        <scheme val="none"/>
      </font>
      <numFmt numFmtId="6" formatCode="#,##0;[Red]\-#,##0"/>
      <fill>
        <patternFill patternType="solid">
          <fgColor indexed="64"/>
          <bgColor theme="0"/>
        </patternFill>
      </fill>
      <border diagonalUp="0" diagonalDown="0">
        <left style="thin">
          <color theme="8"/>
        </left>
        <right style="thin">
          <color theme="8"/>
        </right>
        <top style="thin">
          <color theme="8"/>
        </top>
        <bottom style="thin">
          <color theme="8"/>
        </bottom>
        <vertical/>
        <horizontal/>
      </border>
    </dxf>
    <dxf>
      <font>
        <b val="0"/>
        <i val="0"/>
        <strike val="0"/>
        <condense val="0"/>
        <extend val="0"/>
        <outline val="0"/>
        <shadow val="0"/>
        <u val="none"/>
        <vertAlign val="baseline"/>
        <sz val="11"/>
        <color auto="1"/>
        <name val="メイリオ"/>
        <scheme val="none"/>
      </font>
      <numFmt numFmtId="6" formatCode="#,##0;[Red]\-#,##0"/>
      <fill>
        <patternFill patternType="solid">
          <fgColor indexed="64"/>
          <bgColor theme="0"/>
        </patternFill>
      </fill>
      <border diagonalUp="0" diagonalDown="0">
        <left style="thin">
          <color theme="8"/>
        </left>
        <right style="thin">
          <color theme="8"/>
        </right>
        <top style="thin">
          <color theme="8"/>
        </top>
        <bottom style="thin">
          <color theme="8"/>
        </bottom>
        <vertical/>
        <horizontal/>
      </border>
    </dxf>
    <dxf>
      <font>
        <b val="0"/>
        <i val="0"/>
        <strike val="0"/>
        <condense val="0"/>
        <extend val="0"/>
        <outline val="0"/>
        <shadow val="0"/>
        <u val="none"/>
        <vertAlign val="baseline"/>
        <sz val="11"/>
        <color auto="1"/>
        <name val="メイリオ"/>
        <scheme val="none"/>
      </font>
      <numFmt numFmtId="6" formatCode="#,##0;[Red]\-#,##0"/>
      <fill>
        <patternFill patternType="solid">
          <fgColor indexed="64"/>
          <bgColor theme="0"/>
        </patternFill>
      </fill>
      <border diagonalUp="0" diagonalDown="0">
        <left style="thin">
          <color theme="8"/>
        </left>
        <right style="thin">
          <color theme="8"/>
        </right>
        <top style="thin">
          <color theme="8"/>
        </top>
        <bottom style="thin">
          <color theme="8"/>
        </bottom>
        <vertical/>
        <horizontal/>
      </border>
    </dxf>
    <dxf>
      <font>
        <b val="0"/>
        <i val="0"/>
        <strike val="0"/>
        <condense val="0"/>
        <extend val="0"/>
        <outline val="0"/>
        <shadow val="0"/>
        <u val="none"/>
        <vertAlign val="baseline"/>
        <sz val="11"/>
        <color auto="1"/>
        <name val="メイリオ"/>
        <scheme val="none"/>
      </font>
      <numFmt numFmtId="6" formatCode="#,##0;[Red]\-#,##0"/>
      <fill>
        <patternFill patternType="solid">
          <fgColor indexed="64"/>
          <bgColor theme="0"/>
        </patternFill>
      </fill>
      <border diagonalUp="0" diagonalDown="0">
        <left style="thin">
          <color theme="8"/>
        </left>
        <right style="thin">
          <color theme="8"/>
        </right>
        <top style="thin">
          <color theme="8"/>
        </top>
        <bottom style="thin">
          <color theme="8"/>
        </bottom>
        <vertical/>
        <horizontal/>
      </border>
    </dxf>
    <dxf>
      <font>
        <b val="0"/>
        <i val="0"/>
        <strike val="0"/>
        <condense val="0"/>
        <extend val="0"/>
        <outline val="0"/>
        <shadow val="0"/>
        <u val="none"/>
        <vertAlign val="baseline"/>
        <sz val="11"/>
        <color auto="1"/>
        <name val="メイリオ"/>
        <scheme val="none"/>
      </font>
      <numFmt numFmtId="6" formatCode="#,##0;[Red]\-#,##0"/>
      <fill>
        <patternFill patternType="solid">
          <fgColor indexed="64"/>
          <bgColor theme="0"/>
        </patternFill>
      </fill>
      <border diagonalUp="0" diagonalDown="0">
        <left style="thin">
          <color theme="8"/>
        </left>
        <right style="thin">
          <color theme="8"/>
        </right>
        <top style="thin">
          <color theme="8"/>
        </top>
        <bottom style="thin">
          <color theme="8"/>
        </bottom>
        <vertical/>
        <horizontal/>
      </border>
    </dxf>
    <dxf>
      <font>
        <b val="0"/>
        <i val="0"/>
        <strike val="0"/>
        <condense val="0"/>
        <extend val="0"/>
        <outline val="0"/>
        <shadow val="0"/>
        <u val="none"/>
        <vertAlign val="baseline"/>
        <sz val="11"/>
        <color auto="1"/>
        <name val="メイリオ"/>
        <scheme val="none"/>
      </font>
      <numFmt numFmtId="6" formatCode="#,##0;[Red]\-#,##0"/>
      <fill>
        <patternFill patternType="solid">
          <fgColor indexed="64"/>
          <bgColor theme="0"/>
        </patternFill>
      </fill>
      <border diagonalUp="0" diagonalDown="0">
        <left style="thin">
          <color theme="8"/>
        </left>
        <right style="thin">
          <color theme="8"/>
        </right>
        <top style="thin">
          <color theme="8"/>
        </top>
        <bottom style="thin">
          <color theme="8"/>
        </bottom>
        <vertical/>
        <horizontal/>
      </border>
    </dxf>
    <dxf>
      <font>
        <b val="0"/>
        <i val="0"/>
        <strike val="0"/>
        <condense val="0"/>
        <extend val="0"/>
        <outline val="0"/>
        <shadow val="0"/>
        <u val="none"/>
        <vertAlign val="baseline"/>
        <sz val="11"/>
        <color auto="1"/>
        <name val="メイリオ"/>
        <scheme val="none"/>
      </font>
      <numFmt numFmtId="6" formatCode="#,##0;[Red]\-#,##0"/>
      <fill>
        <patternFill patternType="solid">
          <fgColor indexed="64"/>
          <bgColor theme="0"/>
        </patternFill>
      </fill>
      <border diagonalUp="0" diagonalDown="0">
        <left style="thin">
          <color theme="8"/>
        </left>
        <right style="thin">
          <color theme="8"/>
        </right>
        <top style="thin">
          <color theme="8"/>
        </top>
        <bottom style="thin">
          <color theme="8"/>
        </bottom>
        <vertical/>
        <horizontal/>
      </border>
    </dxf>
    <dxf>
      <font>
        <b val="0"/>
        <i val="0"/>
        <strike val="0"/>
        <condense val="0"/>
        <extend val="0"/>
        <outline val="0"/>
        <shadow val="0"/>
        <u val="none"/>
        <vertAlign val="baseline"/>
        <sz val="11"/>
        <color auto="1"/>
        <name val="メイリオ"/>
        <scheme val="none"/>
      </font>
      <numFmt numFmtId="6" formatCode="#,##0;[Red]\-#,##0"/>
      <fill>
        <patternFill patternType="solid">
          <fgColor indexed="64"/>
          <bgColor theme="0"/>
        </patternFill>
      </fill>
      <border diagonalUp="0" diagonalDown="0">
        <left style="thin">
          <color theme="8"/>
        </left>
        <right style="thin">
          <color theme="8"/>
        </right>
        <top style="thin">
          <color theme="8"/>
        </top>
        <bottom style="thin">
          <color theme="8"/>
        </bottom>
        <vertical/>
        <horizontal/>
      </border>
    </dxf>
    <dxf>
      <font>
        <b val="0"/>
        <i val="0"/>
        <strike val="0"/>
        <condense val="0"/>
        <extend val="0"/>
        <outline val="0"/>
        <shadow val="0"/>
        <u val="none"/>
        <vertAlign val="baseline"/>
        <sz val="11"/>
        <color auto="1"/>
        <name val="メイリオ"/>
        <scheme val="none"/>
      </font>
      <numFmt numFmtId="6" formatCode="#,##0;[Red]\-#,##0"/>
      <fill>
        <patternFill patternType="solid">
          <fgColor indexed="64"/>
          <bgColor theme="0"/>
        </patternFill>
      </fill>
      <border diagonalUp="0" diagonalDown="0">
        <left style="thin">
          <color theme="8"/>
        </left>
        <right style="thin">
          <color theme="8"/>
        </right>
        <top style="thin">
          <color theme="8"/>
        </top>
        <bottom style="thin">
          <color theme="8"/>
        </bottom>
        <vertical/>
        <horizontal/>
      </border>
    </dxf>
    <dxf>
      <font>
        <b val="0"/>
        <i val="0"/>
        <strike val="0"/>
        <condense val="0"/>
        <extend val="0"/>
        <outline val="0"/>
        <shadow val="0"/>
        <u val="none"/>
        <vertAlign val="baseline"/>
        <sz val="11"/>
        <color auto="1"/>
        <name val="メイリオ"/>
        <scheme val="none"/>
      </font>
      <numFmt numFmtId="6" formatCode="#,##0;[Red]\-#,##0"/>
      <fill>
        <patternFill patternType="solid">
          <fgColor indexed="64"/>
          <bgColor theme="0"/>
        </patternFill>
      </fill>
      <border diagonalUp="0" diagonalDown="0">
        <left style="thin">
          <color theme="8"/>
        </left>
        <right style="thin">
          <color theme="8"/>
        </right>
        <top style="thin">
          <color theme="8"/>
        </top>
        <bottom style="thin">
          <color theme="8"/>
        </bottom>
        <vertical/>
        <horizontal/>
      </border>
    </dxf>
    <dxf>
      <font>
        <b val="0"/>
        <i val="0"/>
        <strike val="0"/>
        <condense val="0"/>
        <extend val="0"/>
        <outline val="0"/>
        <shadow val="0"/>
        <u val="none"/>
        <vertAlign val="baseline"/>
        <sz val="11"/>
        <color auto="1"/>
        <name val="メイリオ"/>
        <scheme val="none"/>
      </font>
      <numFmt numFmtId="6" formatCode="#,##0;[Red]\-#,##0"/>
      <fill>
        <patternFill patternType="solid">
          <fgColor indexed="64"/>
          <bgColor theme="0"/>
        </patternFill>
      </fill>
      <border diagonalUp="0" diagonalDown="0">
        <left style="thin">
          <color theme="8"/>
        </left>
        <right style="thin">
          <color theme="8"/>
        </right>
        <top style="thin">
          <color theme="8"/>
        </top>
        <bottom style="thin">
          <color theme="8"/>
        </bottom>
        <vertical/>
        <horizontal/>
      </border>
    </dxf>
    <dxf>
      <font>
        <b val="0"/>
        <i val="0"/>
        <strike val="0"/>
        <condense val="0"/>
        <extend val="0"/>
        <outline val="0"/>
        <shadow val="0"/>
        <u val="none"/>
        <vertAlign val="baseline"/>
        <sz val="11"/>
        <color auto="1"/>
        <name val="メイリオ"/>
        <scheme val="none"/>
      </font>
      <numFmt numFmtId="6" formatCode="#,##0;[Red]\-#,##0"/>
      <fill>
        <patternFill patternType="solid">
          <fgColor indexed="64"/>
          <bgColor theme="0"/>
        </patternFill>
      </fill>
      <border diagonalUp="0" diagonalDown="0">
        <left style="thin">
          <color theme="8"/>
        </left>
        <right style="thin">
          <color theme="8"/>
        </right>
        <top style="thin">
          <color theme="8"/>
        </top>
        <bottom style="thin">
          <color theme="8"/>
        </bottom>
        <vertical/>
        <horizontal/>
      </border>
    </dxf>
    <dxf>
      <font>
        <b val="0"/>
        <i val="0"/>
        <strike val="0"/>
        <condense val="0"/>
        <extend val="0"/>
        <outline val="0"/>
        <shadow val="0"/>
        <u val="none"/>
        <vertAlign val="baseline"/>
        <sz val="11"/>
        <color auto="1"/>
        <name val="メイリオ"/>
        <scheme val="none"/>
      </font>
      <numFmt numFmtId="6" formatCode="#,##0;[Red]\-#,##0"/>
      <fill>
        <patternFill patternType="solid">
          <fgColor indexed="64"/>
          <bgColor theme="0"/>
        </patternFill>
      </fill>
      <border diagonalUp="0" diagonalDown="0">
        <left style="thin">
          <color theme="8"/>
        </left>
        <right style="thin">
          <color theme="8"/>
        </right>
        <top style="thin">
          <color theme="8"/>
        </top>
        <bottom style="thin">
          <color theme="8"/>
        </bottom>
        <vertical/>
        <horizontal/>
      </border>
    </dxf>
    <dxf>
      <font>
        <b val="0"/>
        <i val="0"/>
        <strike val="0"/>
        <condense val="0"/>
        <extend val="0"/>
        <outline val="0"/>
        <shadow val="0"/>
        <u val="none"/>
        <vertAlign val="baseline"/>
        <sz val="11"/>
        <color auto="1"/>
        <name val="メイリオ"/>
        <scheme val="none"/>
      </font>
      <numFmt numFmtId="6" formatCode="#,##0;[Red]\-#,##0"/>
      <fill>
        <patternFill patternType="solid">
          <fgColor indexed="64"/>
          <bgColor theme="0"/>
        </patternFill>
      </fill>
      <border diagonalUp="0" diagonalDown="0">
        <left style="thin">
          <color theme="8"/>
        </left>
        <right style="thin">
          <color theme="8"/>
        </right>
        <top style="thin">
          <color theme="8"/>
        </top>
        <bottom style="thin">
          <color theme="8"/>
        </bottom>
        <vertical/>
        <horizontal/>
      </border>
    </dxf>
    <dxf>
      <font>
        <b val="0"/>
        <i val="0"/>
        <strike val="0"/>
        <condense val="0"/>
        <extend val="0"/>
        <outline val="0"/>
        <shadow val="0"/>
        <u val="none"/>
        <vertAlign val="baseline"/>
        <sz val="11"/>
        <color auto="1"/>
        <name val="メイリオ"/>
        <scheme val="none"/>
      </font>
      <numFmt numFmtId="6" formatCode="#,##0;[Red]\-#,##0"/>
      <fill>
        <patternFill patternType="solid">
          <fgColor indexed="64"/>
          <bgColor theme="0"/>
        </patternFill>
      </fill>
      <border diagonalUp="0" diagonalDown="0">
        <left style="thin">
          <color theme="8"/>
        </left>
        <right style="thin">
          <color theme="8"/>
        </right>
        <top style="thin">
          <color theme="8"/>
        </top>
        <bottom style="thin">
          <color theme="8"/>
        </bottom>
        <vertical/>
        <horizontal/>
      </border>
    </dxf>
    <dxf>
      <font>
        <b val="0"/>
        <i val="0"/>
        <strike val="0"/>
        <condense val="0"/>
        <extend val="0"/>
        <outline val="0"/>
        <shadow val="0"/>
        <u val="none"/>
        <vertAlign val="baseline"/>
        <sz val="11"/>
        <color auto="1"/>
        <name val="メイリオ"/>
        <scheme val="none"/>
      </font>
      <fill>
        <patternFill patternType="solid">
          <fgColor indexed="64"/>
          <bgColor theme="0"/>
        </patternFill>
      </fill>
      <border diagonalUp="0" diagonalDown="0">
        <left style="thin">
          <color theme="8"/>
        </left>
        <right style="thin">
          <color theme="8"/>
        </right>
        <top style="thin">
          <color theme="8"/>
        </top>
        <bottom style="thin">
          <color theme="8"/>
        </bottom>
        <vertical/>
        <horizontal/>
      </border>
    </dxf>
    <dxf>
      <border outline="0">
        <right style="thin">
          <color theme="8"/>
        </right>
        <bottom style="thin">
          <color theme="8"/>
        </bottom>
      </border>
    </dxf>
    <dxf>
      <font>
        <b val="0"/>
        <i val="0"/>
        <strike val="0"/>
        <condense val="0"/>
        <extend val="0"/>
        <outline val="0"/>
        <shadow val="0"/>
        <u val="none"/>
        <vertAlign val="baseline"/>
        <sz val="11"/>
        <color auto="1"/>
        <name val="メイリオ"/>
        <scheme val="none"/>
      </font>
      <fill>
        <patternFill patternType="solid">
          <fgColor indexed="64"/>
          <bgColor theme="0"/>
        </patternFill>
      </fill>
    </dxf>
    <dxf>
      <font>
        <b/>
        <i val="0"/>
        <strike val="0"/>
        <condense val="0"/>
        <extend val="0"/>
        <outline val="0"/>
        <shadow val="0"/>
        <u val="none"/>
        <vertAlign val="baseline"/>
        <sz val="11"/>
        <color auto="1"/>
        <name val="メイリオ"/>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theme="8"/>
        </left>
        <right style="thin">
          <color theme="8"/>
        </right>
        <top/>
        <bottom/>
      </border>
    </dxf>
    <dxf>
      <font>
        <b val="0"/>
        <i val="0"/>
        <strike val="0"/>
        <condense val="0"/>
        <extend val="0"/>
        <outline val="0"/>
        <shadow val="0"/>
        <u val="none"/>
        <vertAlign val="baseline"/>
        <sz val="11"/>
        <color theme="1"/>
        <name val="メイリオ"/>
        <scheme val="none"/>
      </font>
      <numFmt numFmtId="6" formatCode="#,##0;[Red]\-#,##0"/>
      <alignment horizontal="general" vertical="center" textRotation="0" wrapText="1" indent="0" justifyLastLine="0" shrinkToFit="0" readingOrder="0"/>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1"/>
        <name val="メイリオ"/>
        <scheme val="none"/>
      </font>
      <numFmt numFmtId="6" formatCode="#,##0;[Red]\-#,##0"/>
      <alignment horizontal="general" vertical="center" textRotation="0" wrapText="1" indent="0" justifyLastLine="0" shrinkToFit="0" readingOrder="0"/>
    </dxf>
    <dxf>
      <font>
        <b val="0"/>
        <i val="0"/>
        <strike val="0"/>
        <condense val="0"/>
        <extend val="0"/>
        <outline val="0"/>
        <shadow val="0"/>
        <u val="none"/>
        <vertAlign val="baseline"/>
        <sz val="11"/>
        <color theme="1"/>
        <name val="メイリオ"/>
        <scheme val="none"/>
      </font>
      <numFmt numFmtId="6" formatCode="#,##0;[Red]\-#,##0"/>
      <alignment horizontal="general" vertical="center" textRotation="0" wrapText="1" indent="0" justifyLastLine="0" shrinkToFit="0" readingOrder="0"/>
    </dxf>
    <dxf>
      <font>
        <b val="0"/>
        <i val="0"/>
        <strike val="0"/>
        <condense val="0"/>
        <extend val="0"/>
        <outline val="0"/>
        <shadow val="0"/>
        <u val="none"/>
        <vertAlign val="baseline"/>
        <sz val="11"/>
        <color theme="1"/>
        <name val="メイリオ"/>
        <scheme val="none"/>
      </font>
      <numFmt numFmtId="6" formatCode="#,##0;[Red]\-#,##0"/>
      <alignment horizontal="general" vertical="center" textRotation="0" wrapText="1" indent="0" justifyLastLine="0" shrinkToFit="0" readingOrder="0"/>
    </dxf>
    <dxf>
      <font>
        <b val="0"/>
        <i val="0"/>
        <strike val="0"/>
        <condense val="0"/>
        <extend val="0"/>
        <outline val="0"/>
        <shadow val="0"/>
        <u val="none"/>
        <vertAlign val="baseline"/>
        <sz val="11"/>
        <color theme="1"/>
        <name val="メイリオ"/>
        <scheme val="none"/>
      </font>
      <numFmt numFmtId="6" formatCode="#,##0;[Red]\-#,##0"/>
      <alignment horizontal="general" vertical="center" textRotation="0" wrapText="1" indent="0" justifyLastLine="0" shrinkToFit="0" readingOrder="0"/>
    </dxf>
    <dxf>
      <font>
        <b val="0"/>
        <i val="0"/>
        <strike val="0"/>
        <condense val="0"/>
        <extend val="0"/>
        <outline val="0"/>
        <shadow val="0"/>
        <u val="none"/>
        <vertAlign val="baseline"/>
        <sz val="11"/>
        <color theme="1"/>
        <name val="メイリオ"/>
        <scheme val="none"/>
      </font>
      <numFmt numFmtId="6" formatCode="#,##0;[Red]\-#,##0"/>
      <alignment horizontal="general" vertical="center" textRotation="0" wrapText="1" indent="0" justifyLastLine="0" shrinkToFit="0" readingOrder="0"/>
    </dxf>
    <dxf>
      <font>
        <b val="0"/>
        <i val="0"/>
        <strike val="0"/>
        <condense val="0"/>
        <extend val="0"/>
        <outline val="0"/>
        <shadow val="0"/>
        <u val="none"/>
        <vertAlign val="baseline"/>
        <sz val="11"/>
        <color theme="1"/>
        <name val="メイリオ"/>
        <scheme val="none"/>
      </font>
      <numFmt numFmtId="6" formatCode="#,##0;[Red]\-#,##0"/>
      <alignment horizontal="general" vertical="center" textRotation="0" wrapText="1" indent="0" justifyLastLine="0" shrinkToFit="0" readingOrder="0"/>
    </dxf>
    <dxf>
      <font>
        <b val="0"/>
        <i val="0"/>
        <strike val="0"/>
        <condense val="0"/>
        <extend val="0"/>
        <outline val="0"/>
        <shadow val="0"/>
        <u val="none"/>
        <vertAlign val="baseline"/>
        <sz val="11"/>
        <color theme="1"/>
        <name val="メイリオ"/>
        <scheme val="none"/>
      </font>
      <numFmt numFmtId="6" formatCode="#,##0;[Red]\-#,##0"/>
      <alignment horizontal="general" vertical="center" textRotation="0" wrapText="1" indent="0" justifyLastLine="0" shrinkToFit="0" readingOrder="0"/>
    </dxf>
    <dxf>
      <font>
        <b val="0"/>
        <i val="0"/>
        <strike val="0"/>
        <condense val="0"/>
        <extend val="0"/>
        <outline val="0"/>
        <shadow val="0"/>
        <u val="none"/>
        <vertAlign val="baseline"/>
        <sz val="11"/>
        <color theme="1"/>
        <name val="メイリオ"/>
        <scheme val="none"/>
      </font>
      <numFmt numFmtId="6" formatCode="#,##0;[Red]\-#,##0"/>
      <alignment horizontal="general" vertical="center" textRotation="0" wrapText="1" indent="0" justifyLastLine="0" shrinkToFit="0" readingOrder="0"/>
    </dxf>
    <dxf>
      <font>
        <b val="0"/>
        <i val="0"/>
        <strike val="0"/>
        <condense val="0"/>
        <extend val="0"/>
        <outline val="0"/>
        <shadow val="0"/>
        <u val="none"/>
        <vertAlign val="baseline"/>
        <sz val="11"/>
        <color theme="1"/>
        <name val="メイリオ"/>
        <scheme val="none"/>
      </font>
      <numFmt numFmtId="6" formatCode="#,##0;[Red]\-#,##0"/>
      <alignment horizontal="general" vertical="center" textRotation="0" wrapText="1" indent="0" justifyLastLine="0" shrinkToFit="0" readingOrder="0"/>
    </dxf>
    <dxf>
      <font>
        <b val="0"/>
        <i val="0"/>
        <strike val="0"/>
        <condense val="0"/>
        <extend val="0"/>
        <outline val="0"/>
        <shadow val="0"/>
        <u val="none"/>
        <vertAlign val="baseline"/>
        <sz val="11"/>
        <color theme="1"/>
        <name val="メイリオ"/>
        <scheme val="none"/>
      </font>
      <numFmt numFmtId="6" formatCode="#,##0;[Red]\-#,##0"/>
      <alignment horizontal="general" vertical="center" textRotation="0" wrapText="1" indent="0" justifyLastLine="0" shrinkToFit="0" readingOrder="0"/>
    </dxf>
    <dxf>
      <font>
        <b val="0"/>
        <i val="0"/>
        <strike val="0"/>
        <condense val="0"/>
        <extend val="0"/>
        <outline val="0"/>
        <shadow val="0"/>
        <u val="none"/>
        <vertAlign val="baseline"/>
        <sz val="11"/>
        <color theme="1"/>
        <name val="メイリオ"/>
        <scheme val="none"/>
      </font>
      <numFmt numFmtId="6" formatCode="#,##0;[Red]\-#,##0"/>
      <alignment horizontal="general" vertical="center" textRotation="0" wrapText="1" indent="0" justifyLastLine="0" shrinkToFit="0" readingOrder="0"/>
    </dxf>
    <dxf>
      <font>
        <b val="0"/>
        <i val="0"/>
        <strike val="0"/>
        <condense val="0"/>
        <extend val="0"/>
        <outline val="0"/>
        <shadow val="0"/>
        <u val="none"/>
        <vertAlign val="baseline"/>
        <sz val="11"/>
        <color theme="1"/>
        <name val="メイリオ"/>
        <scheme val="none"/>
      </font>
      <numFmt numFmtId="6" formatCode="#,##0;[Red]\-#,##0"/>
      <alignment horizontal="general" vertical="center" textRotation="0" wrapText="1" indent="0" justifyLastLine="0" shrinkToFit="0" readingOrder="0"/>
    </dxf>
    <dxf>
      <font>
        <b val="0"/>
        <i val="0"/>
        <strike val="0"/>
        <condense val="0"/>
        <extend val="0"/>
        <outline val="0"/>
        <shadow val="0"/>
        <u val="none"/>
        <vertAlign val="baseline"/>
        <sz val="11"/>
        <color theme="1"/>
        <name val="メイリオ"/>
        <scheme val="none"/>
      </font>
      <numFmt numFmtId="6" formatCode="#,##0;[Red]\-#,##0"/>
      <alignment horizontal="general" vertical="center" textRotation="0" wrapText="1" indent="0" justifyLastLine="0" shrinkToFit="0" readingOrder="0"/>
    </dxf>
    <dxf>
      <font>
        <b val="0"/>
        <i val="0"/>
        <strike val="0"/>
        <condense val="0"/>
        <extend val="0"/>
        <outline val="0"/>
        <shadow val="0"/>
        <u val="none"/>
        <vertAlign val="baseline"/>
        <sz val="11"/>
        <color theme="1"/>
        <name val="メイリオ"/>
        <scheme val="none"/>
      </font>
      <numFmt numFmtId="6" formatCode="#,##0;[Red]\-#,##0"/>
      <alignment horizontal="general" vertical="center" textRotation="0" wrapText="1" indent="0" justifyLastLine="0" shrinkToFit="0" readingOrder="0"/>
    </dxf>
    <dxf>
      <font>
        <b val="0"/>
        <i val="0"/>
        <strike val="0"/>
        <condense val="0"/>
        <extend val="0"/>
        <outline val="0"/>
        <shadow val="0"/>
        <u val="none"/>
        <vertAlign val="baseline"/>
        <sz val="11"/>
        <color theme="1"/>
        <name val="メイリオ"/>
        <scheme val="none"/>
      </font>
      <numFmt numFmtId="6" formatCode="#,##0;[Red]\-#,##0"/>
      <alignment horizontal="general" vertical="center" textRotation="0" wrapText="1" indent="0" justifyLastLine="0" shrinkToFit="0" readingOrder="0"/>
    </dxf>
    <dxf>
      <font>
        <b val="0"/>
        <i val="0"/>
        <strike val="0"/>
        <condense val="0"/>
        <extend val="0"/>
        <outline val="0"/>
        <shadow val="0"/>
        <u val="none"/>
        <vertAlign val="baseline"/>
        <sz val="11"/>
        <color theme="1"/>
        <name val="メイリオ"/>
        <scheme val="none"/>
      </font>
      <numFmt numFmtId="6" formatCode="#,##0;[Red]\-#,##0"/>
      <alignment horizontal="general" vertical="center" textRotation="0" wrapText="1" indent="0" justifyLastLine="0" shrinkToFit="0" readingOrder="0"/>
    </dxf>
    <dxf>
      <font>
        <b val="0"/>
        <i val="0"/>
        <strike val="0"/>
        <condense val="0"/>
        <extend val="0"/>
        <outline val="0"/>
        <shadow val="0"/>
        <u val="none"/>
        <vertAlign val="baseline"/>
        <sz val="11"/>
        <color theme="1"/>
        <name val="メイリオ"/>
        <scheme val="none"/>
      </font>
      <numFmt numFmtId="6" formatCode="#,##0;[Red]\-#,##0"/>
      <alignment horizontal="general" vertical="center" textRotation="0" wrapText="1" indent="0" justifyLastLine="0" shrinkToFit="0" readingOrder="0"/>
    </dxf>
    <dxf>
      <font>
        <b val="0"/>
        <i val="0"/>
        <strike val="0"/>
        <condense val="0"/>
        <extend val="0"/>
        <outline val="0"/>
        <shadow val="0"/>
        <u val="none"/>
        <vertAlign val="baseline"/>
        <sz val="11"/>
        <color theme="1"/>
        <name val="メイリオ"/>
        <scheme val="none"/>
      </font>
      <numFmt numFmtId="6" formatCode="#,##0;[Red]\-#,##0"/>
      <alignment horizontal="general" vertical="center" textRotation="0" wrapText="1" indent="0" justifyLastLine="0" shrinkToFit="0" readingOrder="0"/>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dxf>
    <dxf>
      <font>
        <b val="0"/>
        <i val="0"/>
        <strike val="0"/>
        <condense val="0"/>
        <extend val="0"/>
        <outline val="0"/>
        <shadow val="0"/>
        <u val="none"/>
        <vertAlign val="baseline"/>
        <sz val="11"/>
        <color theme="1"/>
        <name val="メイリオ"/>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メイリオ"/>
        <scheme val="none"/>
      </font>
      <fill>
        <patternFill patternType="none">
          <fgColor indexed="64"/>
          <bgColor auto="1"/>
        </patternFill>
      </fill>
    </dxf>
    <dxf>
      <font>
        <b val="0"/>
        <i val="0"/>
        <strike val="0"/>
        <condense val="0"/>
        <extend val="0"/>
        <outline val="0"/>
        <shadow val="0"/>
        <u val="none"/>
        <vertAlign val="baseline"/>
        <sz val="11"/>
        <color theme="1"/>
        <name val="メイリオ"/>
        <scheme val="none"/>
      </font>
      <fill>
        <patternFill patternType="none">
          <fgColor indexed="64"/>
          <bgColor auto="1"/>
        </patternFill>
      </fill>
      <alignment horizontal="general" vertical="center" textRotation="0" wrapText="0" indent="0" justifyLastLine="0" shrinkToFit="1"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メイリオ"/>
        <scheme val="none"/>
      </font>
      <fill>
        <patternFill patternType="none">
          <fgColor indexed="64"/>
          <bgColor auto="1"/>
        </patternFill>
      </fill>
      <alignment horizontal="general" vertical="center" textRotation="0" wrapText="0" indent="0" justifyLastLine="0" shrinkToFit="1"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メイリオ"/>
        <scheme val="none"/>
      </font>
      <fill>
        <patternFill patternType="none">
          <fgColor indexed="64"/>
          <bgColor auto="1"/>
        </patternFill>
      </fill>
      <alignment horizontal="general" vertical="center" textRotation="0" wrapText="0" indent="0" justifyLastLine="0" shrinkToFit="1"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メイリオ"/>
        <scheme val="none"/>
      </font>
      <fill>
        <patternFill patternType="none">
          <fgColor indexed="64"/>
          <bgColor auto="1"/>
        </patternFill>
      </fill>
      <alignment horizontal="general" vertical="center" textRotation="0" wrapText="0" indent="0" justifyLastLine="0" shrinkToFit="1"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メイリオ"/>
        <scheme val="none"/>
      </font>
      <fill>
        <patternFill patternType="none">
          <fgColor indexed="64"/>
          <bgColor auto="1"/>
        </patternFill>
      </fill>
      <alignment horizontal="general" vertical="center" textRotation="0" wrapText="0" indent="0" justifyLastLine="0" shrinkToFit="1"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メイリオ"/>
        <scheme val="none"/>
      </font>
      <fill>
        <patternFill patternType="none">
          <fgColor indexed="64"/>
          <bgColor auto="1"/>
        </patternFill>
      </fill>
      <alignment horizontal="general" vertical="center" textRotation="0" wrapText="0" indent="0" justifyLastLine="0" shrinkToFit="1"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メイリオ"/>
        <scheme val="none"/>
      </font>
      <fill>
        <patternFill patternType="none">
          <fgColor indexed="64"/>
          <bgColor auto="1"/>
        </patternFill>
      </fill>
      <alignment horizontal="general" vertical="center" textRotation="0" wrapText="0" indent="0" justifyLastLine="0" shrinkToFit="1"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メイリオ"/>
        <scheme val="none"/>
      </font>
      <fill>
        <patternFill patternType="none">
          <fgColor indexed="64"/>
          <bgColor auto="1"/>
        </patternFill>
      </fill>
      <alignment horizontal="general" vertical="center" textRotation="0" wrapText="0" indent="0" justifyLastLine="0" shrinkToFit="1"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メイリオ"/>
        <scheme val="none"/>
      </font>
      <fill>
        <patternFill patternType="none">
          <fgColor indexed="64"/>
          <bgColor auto="1"/>
        </patternFill>
      </fill>
      <alignment horizontal="general" vertical="center" textRotation="0" wrapText="0" indent="0" justifyLastLine="0" shrinkToFit="1"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メイリオ"/>
        <scheme val="none"/>
      </font>
      <fill>
        <patternFill patternType="none">
          <fgColor indexed="64"/>
          <bgColor auto="1"/>
        </patternFill>
      </fill>
      <alignment horizontal="general" vertical="center" textRotation="0" wrapText="0" indent="0" justifyLastLine="0" shrinkToFit="1"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メイリオ"/>
        <scheme val="none"/>
      </font>
      <fill>
        <patternFill patternType="none">
          <fgColor indexed="64"/>
          <bgColor auto="1"/>
        </patternFill>
      </fill>
      <alignment horizontal="general" vertical="center" textRotation="0" wrapText="0" indent="0" justifyLastLine="0" shrinkToFit="1"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メイリオ"/>
        <scheme val="none"/>
      </font>
      <fill>
        <patternFill patternType="none">
          <fgColor indexed="64"/>
          <bgColor auto="1"/>
        </patternFill>
      </fill>
      <alignment horizontal="general" vertical="center" textRotation="0" wrapText="0" indent="0" justifyLastLine="0" shrinkToFit="1"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メイリオ"/>
        <scheme val="none"/>
      </font>
      <fill>
        <patternFill patternType="none">
          <fgColor indexed="64"/>
          <bgColor auto="1"/>
        </patternFill>
      </fill>
      <alignment horizontal="general" vertical="center" textRotation="0" wrapText="0" indent="0" justifyLastLine="0" shrinkToFit="1"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メイリオ"/>
        <scheme val="none"/>
      </font>
      <fill>
        <patternFill patternType="none">
          <fgColor indexed="64"/>
          <bgColor auto="1"/>
        </patternFill>
      </fill>
      <alignment horizontal="general" vertical="center" textRotation="0" wrapText="0" indent="0" justifyLastLine="0" shrinkToFit="1"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メイリオ"/>
        <scheme val="none"/>
      </font>
      <fill>
        <patternFill patternType="none">
          <fgColor indexed="64"/>
          <bgColor auto="1"/>
        </patternFill>
      </fill>
      <alignment horizontal="general" vertical="center" textRotation="0" wrapText="0" indent="0" justifyLastLine="0" shrinkToFit="1"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メイリオ"/>
        <scheme val="none"/>
      </font>
      <fill>
        <patternFill patternType="none">
          <fgColor indexed="64"/>
          <bgColor auto="1"/>
        </patternFill>
      </fill>
      <alignment horizontal="general" vertical="center" textRotation="0" wrapText="0" indent="0" justifyLastLine="0" shrinkToFit="1"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メイリオ"/>
        <scheme val="none"/>
      </font>
      <fill>
        <patternFill patternType="none">
          <fgColor indexed="64"/>
          <bgColor auto="1"/>
        </patternFill>
      </fill>
      <alignment horizontal="general" vertical="center" textRotation="0" wrapText="0" indent="0" justifyLastLine="0" shrinkToFit="1"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メイリオ"/>
        <scheme val="none"/>
      </font>
      <fill>
        <patternFill patternType="none">
          <fgColor indexed="64"/>
          <bgColor auto="1"/>
        </patternFill>
      </fill>
      <alignment horizontal="general" vertical="center" textRotation="0" wrapText="0" indent="0" justifyLastLine="0" shrinkToFit="1"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メイリオ"/>
        <scheme val="none"/>
      </font>
      <fill>
        <patternFill patternType="none">
          <fgColor indexed="64"/>
          <bgColor auto="1"/>
        </patternFill>
      </fill>
      <alignment horizontal="general" vertical="center" textRotation="0" wrapText="0" indent="0" justifyLastLine="0" shrinkToFit="1"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9"/>
        <color theme="0"/>
        <name val="メイリオ"/>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メイリオ"/>
        <scheme val="none"/>
      </font>
      <fill>
        <patternFill patternType="none">
          <fgColor indexed="64"/>
          <bgColor auto="1"/>
        </patternFill>
      </fill>
      <alignment horizontal="general" vertical="center" textRotation="0" wrapText="0" indent="0" justifyLastLine="0" shrinkToFit="1" readingOrder="0"/>
    </dxf>
    <dxf>
      <font>
        <b val="0"/>
        <i val="0"/>
        <strike val="0"/>
        <condense val="0"/>
        <extend val="0"/>
        <outline val="0"/>
        <shadow val="0"/>
        <u val="none"/>
        <vertAlign val="baseline"/>
        <sz val="11"/>
        <color theme="0"/>
        <name val="メイリオ"/>
        <scheme val="none"/>
      </font>
      <fill>
        <patternFill patternType="none">
          <fgColor indexed="64"/>
          <bgColor auto="1"/>
        </patternFill>
      </fill>
    </dxf>
    <dxf>
      <font>
        <b val="0"/>
        <i val="0"/>
        <strike val="0"/>
        <condense val="0"/>
        <extend val="0"/>
        <outline val="0"/>
        <shadow val="0"/>
        <u val="none"/>
        <vertAlign val="baseline"/>
        <sz val="11"/>
        <color auto="1"/>
        <name val="メイリオ"/>
        <scheme val="none"/>
      </font>
      <fill>
        <patternFill patternType="none">
          <fgColor indexed="64"/>
          <bgColor auto="1"/>
        </patternFill>
      </fill>
    </dxf>
    <dxf>
      <font>
        <b val="0"/>
        <i val="0"/>
        <strike val="0"/>
        <condense val="0"/>
        <extend val="0"/>
        <outline val="0"/>
        <shadow val="0"/>
        <u val="none"/>
        <vertAlign val="baseline"/>
        <sz val="11"/>
        <color auto="1"/>
        <name val="メイリオ"/>
        <scheme val="none"/>
      </font>
      <fill>
        <patternFill patternType="none">
          <fgColor indexed="64"/>
          <bgColor auto="1"/>
        </patternFill>
      </fill>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auto="1"/>
        <name val="メイリオ"/>
        <scheme val="none"/>
      </font>
      <fill>
        <patternFill patternType="none">
          <fgColor indexed="64"/>
          <bgColor auto="1"/>
        </patternFill>
      </fill>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auto="1"/>
        <name val="メイリオ"/>
        <scheme val="none"/>
      </font>
      <fill>
        <patternFill patternType="none">
          <fgColor indexed="64"/>
          <bgColor auto="1"/>
        </patternFill>
      </fill>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auto="1"/>
        <name val="メイリオ"/>
        <scheme val="none"/>
      </font>
      <fill>
        <patternFill patternType="none">
          <fgColor indexed="64"/>
          <bgColor auto="1"/>
        </patternFill>
      </fill>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auto="1"/>
        <name val="メイリオ"/>
        <scheme val="none"/>
      </font>
      <fill>
        <patternFill patternType="none">
          <fgColor indexed="64"/>
          <bgColor auto="1"/>
        </patternFill>
      </fill>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auto="1"/>
        <name val="メイリオ"/>
        <scheme val="none"/>
      </font>
      <fill>
        <patternFill patternType="none">
          <fgColor indexed="64"/>
          <bgColor auto="1"/>
        </patternFill>
      </fill>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auto="1"/>
        <name val="メイリオ"/>
        <scheme val="none"/>
      </font>
      <fill>
        <patternFill patternType="none">
          <fgColor indexed="64"/>
          <bgColor auto="1"/>
        </patternFill>
      </fill>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auto="1"/>
        <name val="メイリオ"/>
        <scheme val="none"/>
      </font>
      <fill>
        <patternFill patternType="none">
          <fgColor indexed="64"/>
          <bgColor auto="1"/>
        </patternFill>
      </fill>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auto="1"/>
        <name val="メイリオ"/>
        <scheme val="none"/>
      </font>
      <fill>
        <patternFill patternType="none">
          <fgColor indexed="64"/>
          <bgColor auto="1"/>
        </patternFill>
      </fill>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auto="1"/>
        <name val="メイリオ"/>
        <scheme val="none"/>
      </font>
      <fill>
        <patternFill patternType="none">
          <fgColor indexed="64"/>
          <bgColor auto="1"/>
        </patternFill>
      </fill>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auto="1"/>
        <name val="メイリオ"/>
        <scheme val="none"/>
      </font>
      <fill>
        <patternFill patternType="none">
          <fgColor indexed="64"/>
          <bgColor auto="1"/>
        </patternFill>
      </fill>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auto="1"/>
        <name val="メイリオ"/>
        <scheme val="none"/>
      </font>
      <fill>
        <patternFill patternType="none">
          <fgColor indexed="64"/>
          <bgColor auto="1"/>
        </patternFill>
      </fill>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auto="1"/>
        <name val="メイリオ"/>
        <scheme val="none"/>
      </font>
      <fill>
        <patternFill patternType="none">
          <fgColor indexed="64"/>
          <bgColor auto="1"/>
        </patternFill>
      </fill>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auto="1"/>
        <name val="メイリオ"/>
        <scheme val="none"/>
      </font>
      <fill>
        <patternFill patternType="none">
          <fgColor indexed="64"/>
          <bgColor auto="1"/>
        </patternFill>
      </fill>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auto="1"/>
        <name val="メイリオ"/>
        <scheme val="none"/>
      </font>
      <fill>
        <patternFill patternType="none">
          <fgColor indexed="64"/>
          <bgColor auto="1"/>
        </patternFill>
      </fill>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auto="1"/>
        <name val="メイリオ"/>
        <scheme val="none"/>
      </font>
      <fill>
        <patternFill patternType="none">
          <fgColor indexed="64"/>
          <bgColor auto="1"/>
        </patternFill>
      </fill>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auto="1"/>
        <name val="メイリオ"/>
        <scheme val="none"/>
      </font>
      <fill>
        <patternFill patternType="none">
          <fgColor indexed="64"/>
          <bgColor auto="1"/>
        </patternFill>
      </fill>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auto="1"/>
        <name val="メイリオ"/>
        <scheme val="none"/>
      </font>
      <fill>
        <patternFill patternType="none">
          <fgColor indexed="64"/>
          <bgColor auto="1"/>
        </patternFill>
      </fill>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auto="1"/>
        <name val="メイリオ"/>
        <scheme val="none"/>
      </font>
      <fill>
        <patternFill patternType="none">
          <fgColor indexed="64"/>
          <bgColor auto="1"/>
        </patternFill>
      </fill>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auto="1"/>
        <name val="メイリオ"/>
        <scheme val="none"/>
      </font>
      <fill>
        <patternFill patternType="none">
          <fgColor indexed="64"/>
          <bgColor auto="1"/>
        </patternFill>
      </fill>
    </dxf>
    <dxf>
      <font>
        <b val="0"/>
        <i val="0"/>
        <strike val="0"/>
        <condense val="0"/>
        <extend val="0"/>
        <outline val="0"/>
        <shadow val="0"/>
        <u val="none"/>
        <vertAlign val="baseline"/>
        <sz val="11"/>
        <color auto="1"/>
        <name val="メイリオ"/>
        <scheme val="none"/>
      </font>
      <fill>
        <patternFill patternType="none">
          <fgColor indexed="64"/>
          <bgColor auto="1"/>
        </patternFill>
      </fill>
    </dxf>
    <dxf>
      <font>
        <b val="0"/>
        <i val="0"/>
        <strike val="0"/>
        <condense val="0"/>
        <extend val="0"/>
        <outline val="0"/>
        <shadow val="0"/>
        <u val="none"/>
        <vertAlign val="baseline"/>
        <sz val="11"/>
        <color theme="1"/>
        <name val="メイリオ"/>
        <scheme val="none"/>
      </font>
    </dxf>
    <dxf>
      <border outline="0">
        <bottom style="thin">
          <color theme="0"/>
        </bottom>
      </border>
    </dxf>
    <dxf>
      <font>
        <b val="0"/>
        <i val="0"/>
        <strike val="0"/>
        <condense val="0"/>
        <extend val="0"/>
        <outline val="0"/>
        <shadow val="0"/>
        <u val="none"/>
        <vertAlign val="baseline"/>
        <sz val="11"/>
        <color theme="1"/>
        <name val="メイリオ"/>
        <scheme val="none"/>
      </font>
      <fill>
        <patternFill patternType="solid">
          <fgColor theme="4" tint="0.79998168889431442"/>
          <bgColor theme="4" tint="0.79998168889431442"/>
        </patternFill>
      </fill>
    </dxf>
    <dxf>
      <font>
        <b val="0"/>
        <i val="0"/>
        <strike val="0"/>
        <condense val="0"/>
        <extend val="0"/>
        <outline val="0"/>
        <shadow val="0"/>
        <u val="none"/>
        <vertAlign val="baseline"/>
        <sz val="11"/>
        <color theme="1"/>
        <name val="メイリオ"/>
        <scheme val="none"/>
      </font>
      <alignment horizontal="general" vertical="center" textRotation="0" wrapText="0" indent="0" justifyLastLine="0" shrinkToFit="1" readingOrder="0"/>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auto="1"/>
        <name val="メイリオ"/>
        <scheme val="none"/>
      </font>
      <alignment horizontal="general" vertical="center" textRotation="0" wrapText="0" indent="0" justifyLastLine="0" shrinkToFit="1"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1"/>
        <color auto="1"/>
        <name val="メイリオ"/>
        <scheme val="none"/>
      </font>
      <alignment horizontal="general" vertical="center" textRotation="0" wrapText="0" indent="0" justifyLastLine="0" shrinkToFit="1"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1"/>
        <color auto="1"/>
        <name val="メイリオ"/>
        <scheme val="none"/>
      </font>
      <alignment horizontal="general" vertical="center" textRotation="0" wrapText="0" indent="0" justifyLastLine="0" shrinkToFit="1"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1"/>
        <color auto="1"/>
        <name val="メイリオ"/>
        <scheme val="none"/>
      </font>
      <alignment horizontal="general" vertical="center" textRotation="0" wrapText="0" indent="0" justifyLastLine="0" shrinkToFit="1"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1"/>
        <color auto="1"/>
        <name val="メイリオ"/>
        <scheme val="none"/>
      </font>
      <alignment horizontal="general" vertical="center" textRotation="0" wrapText="0" indent="0" justifyLastLine="0" shrinkToFit="1"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1"/>
        <color auto="1"/>
        <name val="メイリオ"/>
        <scheme val="none"/>
      </font>
      <alignment horizontal="general" vertical="center" textRotation="0" wrapText="0" indent="0" justifyLastLine="0" shrinkToFit="1"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1"/>
        <color auto="1"/>
        <name val="メイリオ"/>
        <scheme val="none"/>
      </font>
      <alignment horizontal="general" vertical="center" textRotation="0" wrapText="0" indent="0" justifyLastLine="0" shrinkToFit="1"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1"/>
        <color auto="1"/>
        <name val="メイリオ"/>
        <scheme val="none"/>
      </font>
      <alignment horizontal="general" vertical="center" textRotation="0" wrapText="0" indent="0" justifyLastLine="0" shrinkToFit="1"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1"/>
        <color auto="1"/>
        <name val="メイリオ"/>
        <scheme val="none"/>
      </font>
      <alignment horizontal="general" vertical="center" textRotation="0" wrapText="0" indent="0" justifyLastLine="0" shrinkToFit="1"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1"/>
        <color auto="1"/>
        <name val="メイリオ"/>
        <scheme val="none"/>
      </font>
      <alignment horizontal="general" vertical="center" textRotation="0" wrapText="0" indent="0" justifyLastLine="0" shrinkToFit="1"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1"/>
        <color auto="1"/>
        <name val="メイリオ"/>
        <scheme val="none"/>
      </font>
      <alignment horizontal="general" vertical="center" textRotation="0" wrapText="0" indent="0" justifyLastLine="0" shrinkToFit="1"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1"/>
        <color auto="1"/>
        <name val="メイリオ"/>
        <scheme val="none"/>
      </font>
      <alignment horizontal="general" vertical="center" textRotation="0" wrapText="0" indent="0" justifyLastLine="0" shrinkToFit="1"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1"/>
        <color auto="1"/>
        <name val="メイリオ"/>
        <scheme val="none"/>
      </font>
      <alignment horizontal="general" vertical="center" textRotation="0" wrapText="0" indent="0" justifyLastLine="0" shrinkToFit="1"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1"/>
        <color auto="1"/>
        <name val="メイリオ"/>
        <scheme val="none"/>
      </font>
      <alignment horizontal="general" vertical="center" textRotation="0" wrapText="0" indent="0" justifyLastLine="0" shrinkToFit="1"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1"/>
        <color auto="1"/>
        <name val="メイリオ"/>
        <scheme val="none"/>
      </font>
      <alignment horizontal="general" vertical="center" textRotation="0" wrapText="0" indent="0" justifyLastLine="0" shrinkToFit="1"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1"/>
        <color auto="1"/>
        <name val="メイリオ"/>
        <scheme val="none"/>
      </font>
      <alignment horizontal="general" vertical="center" textRotation="0" wrapText="0" indent="0" justifyLastLine="0" shrinkToFit="1"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1"/>
        <color auto="1"/>
        <name val="メイリオ"/>
        <scheme val="none"/>
      </font>
      <alignment horizontal="general" vertical="center" textRotation="0" wrapText="0" indent="0" justifyLastLine="0" shrinkToFit="1"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1"/>
        <color auto="1"/>
        <name val="メイリオ"/>
        <scheme val="none"/>
      </font>
      <alignment horizontal="general" vertical="center" textRotation="0" wrapText="0" indent="0" justifyLastLine="0" shrinkToFit="1" readingOrder="0"/>
      <border diagonalUp="0" diagonalDown="0">
        <left style="thin">
          <color theme="0"/>
        </left>
        <right/>
        <top style="thin">
          <color theme="0"/>
        </top>
        <bottom/>
        <vertical/>
        <horizontal/>
      </border>
    </dxf>
    <dxf>
      <border outline="0">
        <bottom style="thin">
          <color theme="0"/>
        </bottom>
      </border>
    </dxf>
    <dxf>
      <font>
        <b val="0"/>
        <i val="0"/>
        <strike val="0"/>
        <condense val="0"/>
        <extend val="0"/>
        <outline val="0"/>
        <shadow val="0"/>
        <u val="none"/>
        <vertAlign val="baseline"/>
        <sz val="11"/>
        <color auto="1"/>
        <name val="メイリオ"/>
        <scheme val="none"/>
      </font>
      <alignment horizontal="general" vertical="center" textRotation="0" wrapText="0" indent="0" justifyLastLine="0" shrinkToFit="1" readingOrder="0"/>
    </dxf>
    <dxf>
      <font>
        <b/>
        <i val="0"/>
        <strike val="0"/>
        <condense val="0"/>
        <extend val="0"/>
        <outline val="0"/>
        <shadow val="0"/>
        <u val="none"/>
        <vertAlign val="baseline"/>
        <sz val="9"/>
        <color auto="1"/>
        <name val="メイリオ"/>
        <scheme val="none"/>
      </font>
      <fill>
        <patternFill patternType="solid">
          <fgColor theme="4"/>
          <bgColor theme="4"/>
        </patternFill>
      </fill>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style="thin">
          <color theme="0"/>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outline="0">
        <left/>
        <right style="thin">
          <color theme="0"/>
        </right>
        <top style="thin">
          <color theme="0"/>
        </top>
        <bottom style="thin">
          <color theme="0"/>
        </bottom>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0"/>
        <name val="メイリオ"/>
        <scheme val="none"/>
      </font>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0"/>
        <name val="メイリオ"/>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outline="0">
        <left/>
        <right style="thin">
          <color theme="0"/>
        </right>
        <top style="thin">
          <color theme="0"/>
        </top>
        <bottom style="thin">
          <color theme="0"/>
        </bottom>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0"/>
        <name val="メイリオ"/>
        <scheme val="none"/>
      </font>
      <alignment vertical="center" textRotation="0" wrapText="1" indent="0" justifyLastLine="0" shrinkToFit="0" readingOrder="0"/>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0"/>
        <name val="メイリオ"/>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0"/>
        <name val="メイリオ"/>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outline="0">
        <left/>
        <right style="thin">
          <color theme="0"/>
        </right>
        <top style="thin">
          <color theme="0"/>
        </top>
        <bottom style="thin">
          <color theme="0"/>
        </bottom>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0"/>
        <name val="メイリオ"/>
        <scheme val="none"/>
      </font>
    </dxf>
    <dxf>
      <font>
        <b val="0"/>
        <i val="0"/>
        <strike val="0"/>
        <condense val="0"/>
        <extend val="0"/>
        <outline val="0"/>
        <shadow val="0"/>
        <u val="none"/>
        <vertAlign val="baseline"/>
        <sz val="11"/>
        <color theme="1"/>
        <name val="メイリオ"/>
        <scheme val="none"/>
      </font>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right" vertical="center" textRotation="0" wrapText="0" indent="0" justifyLastLine="0" shrinkToFit="0" readingOrder="0"/>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numFmt numFmtId="176" formatCode="#,##0_ ;[Red]\-#,##0\ "/>
      <border diagonalUp="0" diagonalDown="0" outline="0">
        <left/>
        <right style="thin">
          <color theme="0"/>
        </right>
        <top style="thin">
          <color theme="0"/>
        </top>
        <bottom style="thin">
          <color theme="0"/>
        </bottom>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0"/>
        <name val="メイリオ"/>
        <scheme val="none"/>
      </font>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outline="0">
        <left/>
        <right style="thin">
          <color theme="0"/>
        </right>
        <top style="thin">
          <color theme="0"/>
        </top>
        <bottom style="thin">
          <color theme="0"/>
        </bottom>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outline="0">
        <left/>
        <right style="thin">
          <color theme="0"/>
        </right>
        <top style="thin">
          <color theme="0"/>
        </top>
        <bottom style="thin">
          <color theme="0"/>
        </bottom>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メイリオ"/>
        <scheme val="none"/>
      </font>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dxf>
    <dxf>
      <font>
        <b val="0"/>
        <i val="0"/>
        <strike val="0"/>
        <condense val="0"/>
        <extend val="0"/>
        <outline val="0"/>
        <shadow val="0"/>
        <u val="none"/>
        <vertAlign val="baseline"/>
        <sz val="11"/>
        <color theme="1"/>
        <name val="メイリオ"/>
        <scheme val="none"/>
      </font>
      <numFmt numFmtId="182" formatCode="#,##0_ "/>
      <fill>
        <patternFill patternType="solid">
          <fgColor theme="4" tint="0.79998168889431442"/>
          <bgColor theme="4" tint="0.79998168889431442"/>
        </patternFill>
      </fill>
      <border diagonalUp="0" diagonalDown="0">
        <left style="thin">
          <color theme="0"/>
        </left>
        <right style="thin">
          <color theme="0"/>
        </right>
        <top style="thin">
          <color theme="0"/>
        </top>
        <bottom/>
        <vertical/>
        <horizontal/>
      </border>
    </dxf>
    <dxf>
      <border outline="0">
        <top style="thin">
          <color theme="4" tint="0.39997558519241921"/>
        </top>
      </border>
    </dxf>
    <dxf>
      <font>
        <b val="0"/>
        <i val="0"/>
        <strike val="0"/>
        <condense val="0"/>
        <extend val="0"/>
        <outline val="0"/>
        <shadow val="0"/>
        <u val="none"/>
        <vertAlign val="baseline"/>
        <sz val="11"/>
        <color theme="1"/>
        <name val="メイリオ"/>
        <scheme val="none"/>
      </font>
      <numFmt numFmtId="182" formatCode="#,##0_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dxf>
    <dxf>
      <alignment horizontal="center" vertical="center" textRotation="0" wrapText="0" indent="0" justifyLastLine="0" shrinkToFit="0" readingOrder="0"/>
    </dxf>
    <dxf>
      <font>
        <b val="0"/>
        <i val="0"/>
        <strike val="0"/>
        <condense val="0"/>
        <extend val="0"/>
        <outline val="0"/>
        <shadow val="0"/>
        <u val="none"/>
        <vertAlign val="baseline"/>
        <sz val="11"/>
        <color theme="1"/>
        <name val="メイリオ"/>
        <scheme val="none"/>
      </font>
      <numFmt numFmtId="176" formatCode="#,##0_ ;[Red]\-#,##0\ "/>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numFmt numFmtId="176" formatCode="#,##0_ ;[Red]\-#,##0\ "/>
    </dxf>
    <dxf>
      <alignment horizontal="center" vertical="center" textRotation="0" indent="0" justifyLastLine="0" shrinkToFit="0" readingOrder="0"/>
    </dxf>
    <dxf>
      <font>
        <b val="0"/>
        <i val="0"/>
        <strike val="0"/>
        <condense val="0"/>
        <extend val="0"/>
        <outline val="0"/>
        <shadow val="0"/>
        <u val="none"/>
        <vertAlign val="baseline"/>
        <sz val="11"/>
        <color theme="1"/>
        <name val="メイリオ"/>
        <scheme val="none"/>
      </font>
      <numFmt numFmtId="181" formatCode="#,##0_);[Red]\(#,##0\)"/>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numFmt numFmtId="176" formatCode="#,##0_ ;[Red]\-#,##0\ "/>
    </dxf>
    <dxf>
      <font>
        <b val="0"/>
        <i val="0"/>
        <strike val="0"/>
        <condense val="0"/>
        <extend val="0"/>
        <outline val="0"/>
        <shadow val="0"/>
        <u val="none"/>
        <vertAlign val="baseline"/>
        <sz val="11"/>
        <color theme="1"/>
        <name val="メイリオ"/>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メイリオ"/>
        <scheme val="none"/>
      </font>
      <numFmt numFmtId="182" formatCode="#,##0_ "/>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0"/>
        <name val="メイリオ"/>
        <scheme val="none"/>
      </font>
      <alignment horizontal="general" vertical="center" textRotation="0" wrapText="1" indent="0" justifyLastLine="0" shrinkToFit="0" readingOrder="0"/>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メイリオ"/>
        <scheme val="none"/>
      </font>
      <numFmt numFmtId="182" formatCode="#,##0_ "/>
      <fill>
        <patternFill patternType="solid">
          <fgColor theme="4" tint="0.79998168889431442"/>
          <bgColor theme="4" tint="0.79998168889431442"/>
        </patternFill>
      </fill>
      <border diagonalUp="0" diagonalDown="0">
        <left style="thin">
          <color theme="0"/>
        </left>
        <right style="thin">
          <color theme="0"/>
        </right>
        <top style="thin">
          <color theme="0"/>
        </top>
        <bottom/>
        <vertical/>
        <horizontal/>
      </border>
    </dxf>
    <dxf>
      <border outline="0">
        <top style="thin">
          <color theme="4" tint="0.39997558519241921"/>
        </top>
      </border>
    </dxf>
    <dxf>
      <font>
        <b val="0"/>
        <i val="0"/>
        <strike val="0"/>
        <condense val="0"/>
        <extend val="0"/>
        <outline val="0"/>
        <shadow val="0"/>
        <u val="none"/>
        <vertAlign val="baseline"/>
        <sz val="11"/>
        <color theme="1"/>
        <name val="メイリオ"/>
        <scheme val="none"/>
      </font>
      <numFmt numFmtId="182" formatCode="#,##0_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dxf>
    <dxf>
      <alignment horizontal="center" vertical="center" textRotation="0" wrapText="0" indent="0" justifyLastLine="0" shrinkToFit="0" readingOrder="0"/>
    </dxf>
    <dxf>
      <font>
        <b val="0"/>
        <i val="0"/>
        <strike val="0"/>
        <condense val="0"/>
        <extend val="0"/>
        <outline val="0"/>
        <shadow val="0"/>
        <u val="none"/>
        <vertAlign val="baseline"/>
        <sz val="11"/>
        <color theme="1"/>
        <name val="メイリオ"/>
        <scheme val="none"/>
      </font>
      <numFmt numFmtId="176" formatCode="#,##0_ ;[Red]\-#,##0\ "/>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numFmt numFmtId="176" formatCode="#,##0_ ;[Red]\-#,##0\ "/>
    </dxf>
    <dxf>
      <alignment horizontal="center" vertical="center" textRotation="0" indent="0" justifyLastLine="0" shrinkToFit="0" readingOrder="0"/>
    </dxf>
    <dxf>
      <font>
        <b val="0"/>
        <i val="0"/>
        <strike val="0"/>
        <condense val="0"/>
        <extend val="0"/>
        <outline val="0"/>
        <shadow val="0"/>
        <u val="none"/>
        <vertAlign val="baseline"/>
        <sz val="11"/>
        <color theme="1"/>
        <name val="メイリオ"/>
        <scheme val="none"/>
      </font>
      <numFmt numFmtId="176" formatCode="#,##0_ ;[Red]\-#,##0\ "/>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numFmt numFmtId="176" formatCode="#,##0_ ;[Red]\-#,##0\ "/>
    </dxf>
    <dxf>
      <alignment horizontal="center" vertical="center" textRotation="0" indent="0" justifyLastLine="0" shrinkToFit="0" readingOrder="0"/>
    </dxf>
    <dxf>
      <font>
        <b val="0"/>
        <i val="0"/>
        <strike val="0"/>
        <condense val="0"/>
        <extend val="0"/>
        <outline val="0"/>
        <shadow val="0"/>
        <u val="none"/>
        <vertAlign val="baseline"/>
        <sz val="11"/>
        <color theme="1"/>
        <name val="メイリオ"/>
        <scheme val="none"/>
      </font>
      <numFmt numFmtId="181" formatCode="#,##0_);[Red]\(#,##0\)"/>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numFmt numFmtId="176" formatCode="#,##0_ ;[Red]\-#,##0\ "/>
    </dxf>
    <dxf>
      <font>
        <b val="0"/>
        <i val="0"/>
        <strike val="0"/>
        <condense val="0"/>
        <extend val="0"/>
        <outline val="0"/>
        <shadow val="0"/>
        <u val="none"/>
        <vertAlign val="baseline"/>
        <sz val="11"/>
        <color theme="1"/>
        <name val="メイリオ"/>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メイリオ"/>
        <scheme val="none"/>
      </font>
      <numFmt numFmtId="176" formatCode="#,##0_ ;[Red]\-#,##0\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メイリオ"/>
        <scheme val="none"/>
      </font>
      <border diagonalUp="0" diagonalDown="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メイリオ"/>
        <scheme val="none"/>
      </font>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dxf>
    <dxf>
      <font>
        <b val="0"/>
        <i val="0"/>
        <strike val="0"/>
        <condense val="0"/>
        <extend val="0"/>
        <outline val="0"/>
        <shadow val="0"/>
        <u val="none"/>
        <vertAlign val="baseline"/>
        <sz val="11"/>
        <color theme="1"/>
        <name val="メイリオ"/>
        <scheme val="none"/>
      </font>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dxf>
    <dxf>
      <font>
        <b val="0"/>
        <i val="0"/>
        <strike val="0"/>
        <condense val="0"/>
        <extend val="0"/>
        <outline val="0"/>
        <shadow val="0"/>
        <u val="none"/>
        <vertAlign val="baseline"/>
        <sz val="11"/>
        <color auto="1"/>
        <name val="メイリオ"/>
        <scheme val="none"/>
      </font>
      <numFmt numFmtId="182" formatCode="#,##0_ "/>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メイリオ"/>
        <scheme val="none"/>
      </font>
      <border outline="0">
        <right style="thin">
          <color theme="0"/>
        </right>
      </border>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メイリオ"/>
        <scheme val="none"/>
      </font>
    </dxf>
    <dxf>
      <font>
        <b val="0"/>
        <i val="0"/>
        <strike val="0"/>
        <condense val="0"/>
        <extend val="0"/>
        <outline val="0"/>
        <shadow val="0"/>
        <u val="none"/>
        <vertAlign val="baseline"/>
        <sz val="11"/>
        <color theme="1"/>
        <name val="メイリオ"/>
        <scheme val="none"/>
      </font>
      <numFmt numFmtId="182" formatCode="#,##0_ "/>
      <fill>
        <patternFill patternType="solid">
          <fgColor theme="4" tint="0.79998168889431442"/>
          <bgColor theme="4" tint="0.79998168889431442"/>
        </patternFill>
      </fill>
      <border diagonalUp="0" diagonalDown="0">
        <left style="thin">
          <color theme="0"/>
        </left>
        <right style="thin">
          <color theme="0"/>
        </right>
        <top style="thin">
          <color theme="0"/>
        </top>
        <bottom/>
        <vertical/>
        <horizontal/>
      </border>
    </dxf>
    <dxf>
      <border outline="0">
        <top style="thin">
          <color theme="4" tint="0.39997558519241921"/>
        </top>
      </border>
    </dxf>
    <dxf>
      <font>
        <b val="0"/>
        <i val="0"/>
        <strike val="0"/>
        <condense val="0"/>
        <extend val="0"/>
        <outline val="0"/>
        <shadow val="0"/>
        <u val="none"/>
        <vertAlign val="baseline"/>
        <sz val="12"/>
        <color theme="1"/>
        <name val="メイリオ"/>
        <scheme val="none"/>
      </font>
    </dxf>
    <dxf>
      <font>
        <b val="0"/>
        <i val="0"/>
        <strike val="0"/>
        <condense val="0"/>
        <extend val="0"/>
        <outline val="0"/>
        <shadow val="0"/>
        <u val="none"/>
        <vertAlign val="baseline"/>
        <sz val="11"/>
        <color theme="1"/>
        <name val="メイリオ"/>
        <scheme val="none"/>
      </font>
      <numFmt numFmtId="182" formatCode="#,##0_ "/>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dxf>
    <dxf>
      <alignment horizontal="center" vertical="center" textRotation="0" wrapText="0" indent="0" justifyLastLine="0" shrinkToFit="0" readingOrder="0"/>
    </dxf>
    <dxf>
      <font>
        <b val="0"/>
        <i val="0"/>
        <strike val="0"/>
        <condense val="0"/>
        <extend val="0"/>
        <outline val="0"/>
        <shadow val="0"/>
        <u val="none"/>
        <vertAlign val="baseline"/>
        <sz val="11"/>
        <color theme="1"/>
        <name val="メイリオ"/>
        <scheme val="none"/>
      </font>
      <numFmt numFmtId="176" formatCode="#,##0_ ;[Red]\-#,##0\ "/>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numFmt numFmtId="176" formatCode="#,##0_ ;[Red]\-#,##0\ "/>
    </dxf>
    <dxf>
      <alignment horizontal="center" vertical="center" textRotation="0" indent="0" justifyLastLine="0" shrinkToFit="0" readingOrder="0"/>
    </dxf>
    <dxf>
      <font>
        <b val="0"/>
        <i val="0"/>
        <strike val="0"/>
        <condense val="0"/>
        <extend val="0"/>
        <outline val="0"/>
        <shadow val="0"/>
        <u val="none"/>
        <vertAlign val="baseline"/>
        <sz val="11"/>
        <color theme="1"/>
        <name val="メイリオ"/>
        <scheme val="none"/>
      </font>
      <numFmt numFmtId="176" formatCode="#,##0_ ;[Red]\-#,##0\ "/>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numFmt numFmtId="176" formatCode="#,##0_ ;[Red]\-#,##0\ "/>
    </dxf>
    <dxf>
      <alignment horizontal="center" vertical="center" textRotation="0" indent="0" justifyLastLine="0" shrinkToFit="0" readingOrder="0"/>
    </dxf>
    <dxf>
      <font>
        <b val="0"/>
        <i val="0"/>
        <strike val="0"/>
        <condense val="0"/>
        <extend val="0"/>
        <outline val="0"/>
        <shadow val="0"/>
        <u val="none"/>
        <vertAlign val="baseline"/>
        <sz val="11"/>
        <color theme="1"/>
        <name val="メイリオ"/>
        <scheme val="none"/>
      </font>
      <numFmt numFmtId="181" formatCode="#,##0_);[Red]\(#,##0\)"/>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0"/>
        <name val="メイリオ"/>
        <scheme val="none"/>
      </font>
      <numFmt numFmtId="176" formatCode="#,##0_ ;[Red]\-#,##0\ "/>
    </dxf>
    <dxf>
      <font>
        <b val="0"/>
        <i val="0"/>
        <strike val="0"/>
        <condense val="0"/>
        <extend val="0"/>
        <outline val="0"/>
        <shadow val="0"/>
        <u val="none"/>
        <vertAlign val="baseline"/>
        <sz val="11"/>
        <color theme="1"/>
        <name val="メイリオ"/>
        <scheme val="none"/>
      </font>
      <alignment horizontal="left" vertical="center" textRotation="0" wrapText="0" indent="0" justifyLastLine="0" shrinkToFit="0" readingOrder="0"/>
    </dxf>
    <dxf>
      <font>
        <b val="0"/>
        <i val="0"/>
        <strike val="0"/>
        <condense val="0"/>
        <extend val="0"/>
        <outline val="0"/>
        <shadow val="0"/>
        <u val="none"/>
        <vertAlign val="baseline"/>
        <sz val="11"/>
        <color auto="1"/>
        <name val="メイリオ"/>
        <scheme val="none"/>
      </font>
      <numFmt numFmtId="176" formatCode="#,##0_ ;[Red]\-#,##0\ "/>
      <border diagonalUp="0" diagonalDown="0">
        <left style="thin">
          <color theme="0"/>
        </left>
        <right style="thin">
          <color theme="0"/>
        </right>
        <top style="thin">
          <color theme="0"/>
        </top>
        <bottom style="thin">
          <color theme="0"/>
        </bottom>
        <vertical/>
        <horizontal/>
      </border>
      <protection locked="0" hidden="0"/>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left" vertical="center" textRotation="0" wrapText="0" indent="0" justifyLastLine="0" shrinkToFit="0" readingOrder="0"/>
      <protection locked="0" hidden="0"/>
    </dxf>
    <dxf>
      <border outline="0">
        <top style="thin">
          <color theme="4" tint="0.39997558519241921"/>
        </top>
      </border>
    </dxf>
    <dxf>
      <font>
        <b val="0"/>
        <i val="0"/>
        <strike val="0"/>
        <condense val="0"/>
        <extend val="0"/>
        <outline val="0"/>
        <shadow val="0"/>
        <u val="none"/>
        <vertAlign val="baseline"/>
        <sz val="11"/>
        <color auto="1"/>
        <name val="メイリオ"/>
        <scheme val="none"/>
      </font>
      <numFmt numFmtId="176" formatCode="#,##0_ ;[Red]\-#,##0\ "/>
      <border diagonalUp="0" diagonalDown="0">
        <left style="thin">
          <color theme="0"/>
        </left>
        <right style="thin">
          <color theme="0"/>
        </right>
        <top style="thin">
          <color theme="0"/>
        </top>
        <bottom style="thin">
          <color theme="0"/>
        </bottom>
        <vertical/>
        <horizontal/>
      </border>
      <protection locked="0" hidden="0"/>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left" vertical="center" textRotation="0" wrapText="0" indent="0" justifyLastLine="0" shrinkToFit="0" readingOrder="0"/>
      <protection locked="0" hidden="0"/>
    </dxf>
    <dxf>
      <protection locked="0" hidden="0"/>
    </dxf>
    <dxf>
      <font>
        <b val="0"/>
        <i val="0"/>
        <strike val="0"/>
        <condense val="0"/>
        <extend val="0"/>
        <outline val="0"/>
        <shadow val="0"/>
        <u val="none"/>
        <vertAlign val="baseline"/>
        <sz val="11"/>
        <color auto="1"/>
        <name val="メイリオ"/>
        <scheme val="none"/>
      </font>
      <numFmt numFmtId="176" formatCode="#,##0_ ;[Red]\-#,##0\ "/>
      <border diagonalUp="0" diagonalDown="0">
        <left style="thin">
          <color theme="0"/>
        </left>
        <right style="thin">
          <color theme="0"/>
        </right>
        <top style="thin">
          <color theme="0"/>
        </top>
        <bottom style="thin">
          <color theme="0"/>
        </bottom>
        <vertical/>
        <horizontal/>
      </border>
      <protection locked="0" hidden="0"/>
    </dxf>
    <dxf>
      <font>
        <b val="0"/>
        <i val="0"/>
        <strike val="0"/>
        <condense val="0"/>
        <extend val="0"/>
        <outline val="0"/>
        <shadow val="0"/>
        <u val="none"/>
        <vertAlign val="baseline"/>
        <sz val="11"/>
        <color theme="0"/>
        <name val="メイリオ"/>
        <scheme val="none"/>
      </font>
      <fill>
        <patternFill patternType="solid">
          <fgColor indexed="64"/>
          <bgColor theme="5" tint="-0.499984740745262"/>
        </patternFill>
      </fill>
      <alignment horizontal="left" vertical="center" textRotation="0" wrapText="0" indent="0" justifyLastLine="0" shrinkToFit="0" readingOrder="0"/>
      <protection locked="0" hidden="0"/>
    </dxf>
    <dxf>
      <protection locked="0" hidden="0"/>
    </dxf>
    <dxf>
      <protection locked="0" hidden="0"/>
    </dxf>
  </dxfs>
  <tableStyles count="0" defaultTableStyle="TableStyleMedium2" defaultPivotStyle="PivotStyleLight16"/>
  <colors>
    <mruColors>
      <color rgb="FFFF7C80"/>
      <color rgb="FFF8FED2"/>
      <color rgb="FFFAFD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メイリオ" panose="020B0604030504040204" pitchFamily="50" charset="-128"/>
                <a:ea typeface="メイリオ" panose="020B0604030504040204" pitchFamily="50" charset="-128"/>
                <a:cs typeface="+mn-cs"/>
              </a:defRPr>
            </a:pPr>
            <a:r>
              <a:rPr lang="ja-JP" sz="1200" b="1">
                <a:latin typeface="メイリオ" panose="020B0604030504040204" pitchFamily="50" charset="-128"/>
                <a:ea typeface="メイリオ" panose="020B0604030504040204" pitchFamily="50" charset="-128"/>
              </a:rPr>
              <a:t>年齢区分</a:t>
            </a:r>
          </a:p>
        </c:rich>
      </c:tx>
      <c:layout>
        <c:manualLayout>
          <c:xMode val="edge"/>
          <c:yMode val="edge"/>
          <c:x val="0.38648181712605029"/>
          <c:y val="1.6987671231044367E-2"/>
        </c:manualLayout>
      </c:layout>
      <c:overlay val="0"/>
      <c:spPr>
        <a:noFill/>
        <a:ln>
          <a:noFill/>
        </a:ln>
        <a:effectLst/>
      </c:spPr>
      <c:txPr>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メイリオ" panose="020B0604030504040204" pitchFamily="50" charset="-128"/>
              <a:ea typeface="メイリオ" panose="020B0604030504040204" pitchFamily="50" charset="-128"/>
              <a:cs typeface="+mn-cs"/>
            </a:defRPr>
          </a:pPr>
          <a:endParaRPr lang="ja-JP"/>
        </a:p>
      </c:txPr>
    </c:title>
    <c:autoTitleDeleted val="0"/>
    <c:plotArea>
      <c:layout/>
      <c:pieChart>
        <c:varyColors val="1"/>
        <c:ser>
          <c:idx val="0"/>
          <c:order val="0"/>
          <c:tx>
            <c:strRef>
              <c:f>'グラフ(年齢区分）'!$N$4</c:f>
              <c:strCache>
                <c:ptCount val="1"/>
                <c:pt idx="0">
                  <c:v>全体</c:v>
                </c:pt>
              </c:strCache>
            </c:strRef>
          </c:tx>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F8BB-452E-BFB8-1A1D90280907}"/>
              </c:ext>
            </c:extLst>
          </c:dPt>
          <c:dPt>
            <c:idx val="1"/>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F8BB-452E-BFB8-1A1D90280907}"/>
              </c:ext>
            </c:extLst>
          </c:dPt>
          <c:dPt>
            <c:idx val="2"/>
            <c:bubble3D val="0"/>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5-F8BB-452E-BFB8-1A1D90280907}"/>
              </c:ext>
            </c:extLst>
          </c:dPt>
          <c:dPt>
            <c:idx val="3"/>
            <c:bubble3D val="0"/>
            <c:spPr>
              <a:gradFill rotWithShape="1">
                <a:gsLst>
                  <a:gs pos="0">
                    <a:schemeClr val="accent4">
                      <a:tint val="50000"/>
                      <a:satMod val="300000"/>
                    </a:schemeClr>
                  </a:gs>
                  <a:gs pos="35000">
                    <a:schemeClr val="accent4">
                      <a:tint val="37000"/>
                      <a:satMod val="300000"/>
                    </a:schemeClr>
                  </a:gs>
                  <a:gs pos="100000">
                    <a:schemeClr val="accent4">
                      <a:tint val="15000"/>
                      <a:satMod val="350000"/>
                    </a:schemeClr>
                  </a:gs>
                </a:gsLst>
                <a:lin ang="16200000" scaled="1"/>
              </a:gradFill>
              <a:ln w="9525" cap="flat" cmpd="sng" algn="ctr">
                <a:solidFill>
                  <a:schemeClr val="accent4">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7-F8BB-452E-BFB8-1A1D90280907}"/>
              </c:ext>
            </c:extLst>
          </c:dPt>
          <c:dPt>
            <c:idx val="4"/>
            <c:bubble3D val="0"/>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9-F8BB-452E-BFB8-1A1D90280907}"/>
              </c:ext>
            </c:extLst>
          </c:dPt>
          <c:dPt>
            <c:idx val="5"/>
            <c:bubble3D val="0"/>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9525" cap="flat" cmpd="sng" algn="ctr">
                <a:solidFill>
                  <a:schemeClr val="accent6">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B-F8BB-452E-BFB8-1A1D90280907}"/>
              </c:ext>
            </c:extLst>
          </c:dPt>
          <c:dPt>
            <c:idx val="6"/>
            <c:bubble3D val="0"/>
            <c:spPr>
              <a:gradFill rotWithShape="1">
                <a:gsLst>
                  <a:gs pos="0">
                    <a:schemeClr val="accent1">
                      <a:lumMod val="60000"/>
                      <a:tint val="50000"/>
                      <a:satMod val="300000"/>
                    </a:schemeClr>
                  </a:gs>
                  <a:gs pos="35000">
                    <a:schemeClr val="accent1">
                      <a:lumMod val="60000"/>
                      <a:tint val="37000"/>
                      <a:satMod val="300000"/>
                    </a:schemeClr>
                  </a:gs>
                  <a:gs pos="100000">
                    <a:schemeClr val="accent1">
                      <a:lumMod val="60000"/>
                      <a:tint val="15000"/>
                      <a:satMod val="350000"/>
                    </a:schemeClr>
                  </a:gs>
                </a:gsLst>
                <a:lin ang="16200000" scaled="1"/>
              </a:gradFill>
              <a:ln w="9525" cap="flat" cmpd="sng" algn="ctr">
                <a:solidFill>
                  <a:schemeClr val="accent1">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D-F8BB-452E-BFB8-1A1D90280907}"/>
              </c:ext>
            </c:extLst>
          </c:dPt>
          <c:dPt>
            <c:idx val="7"/>
            <c:bubble3D val="0"/>
            <c:spPr>
              <a:gradFill rotWithShape="1">
                <a:gsLst>
                  <a:gs pos="0">
                    <a:schemeClr val="accent2">
                      <a:lumMod val="60000"/>
                      <a:tint val="50000"/>
                      <a:satMod val="300000"/>
                    </a:schemeClr>
                  </a:gs>
                  <a:gs pos="35000">
                    <a:schemeClr val="accent2">
                      <a:lumMod val="60000"/>
                      <a:tint val="37000"/>
                      <a:satMod val="300000"/>
                    </a:schemeClr>
                  </a:gs>
                  <a:gs pos="100000">
                    <a:schemeClr val="accent2">
                      <a:lumMod val="60000"/>
                      <a:tint val="15000"/>
                      <a:satMod val="350000"/>
                    </a:schemeClr>
                  </a:gs>
                </a:gsLst>
                <a:lin ang="16200000" scaled="1"/>
              </a:gradFill>
              <a:ln w="9525" cap="flat" cmpd="sng" algn="ctr">
                <a:solidFill>
                  <a:schemeClr val="accent2">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F-F8BB-452E-BFB8-1A1D90280907}"/>
              </c:ext>
            </c:extLst>
          </c:dPt>
          <c:dPt>
            <c:idx val="8"/>
            <c:bubble3D val="0"/>
            <c:spPr>
              <a:gradFill rotWithShape="1">
                <a:gsLst>
                  <a:gs pos="0">
                    <a:schemeClr val="accent3">
                      <a:lumMod val="60000"/>
                      <a:tint val="50000"/>
                      <a:satMod val="300000"/>
                    </a:schemeClr>
                  </a:gs>
                  <a:gs pos="35000">
                    <a:schemeClr val="accent3">
                      <a:lumMod val="60000"/>
                      <a:tint val="37000"/>
                      <a:satMod val="300000"/>
                    </a:schemeClr>
                  </a:gs>
                  <a:gs pos="100000">
                    <a:schemeClr val="accent3">
                      <a:lumMod val="60000"/>
                      <a:tint val="15000"/>
                      <a:satMod val="350000"/>
                    </a:schemeClr>
                  </a:gs>
                </a:gsLst>
                <a:lin ang="16200000" scaled="1"/>
              </a:gradFill>
              <a:ln w="9525" cap="flat" cmpd="sng" algn="ctr">
                <a:solidFill>
                  <a:schemeClr val="accent3">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1-F8BB-452E-BFB8-1A1D90280907}"/>
              </c:ext>
            </c:extLst>
          </c:dPt>
          <c:dLbls>
            <c:dLbl>
              <c:idx val="1"/>
              <c:layout>
                <c:manualLayout>
                  <c:x val="0.1654797385620915"/>
                  <c:y val="6.5291666666666666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layout>
                    <c:manualLayout>
                      <c:w val="0.12824509803921569"/>
                      <c:h val="0.17982847222222223"/>
                    </c:manualLayout>
                  </c15:layout>
                </c:ext>
                <c:ext xmlns:c16="http://schemas.microsoft.com/office/drawing/2014/chart" uri="{C3380CC4-5D6E-409C-BE32-E72D297353CC}">
                  <c16:uniqueId val="{00000003-F8BB-452E-BFB8-1A1D90280907}"/>
                </c:ext>
              </c:extLst>
            </c:dLbl>
            <c:dLbl>
              <c:idx val="2"/>
              <c:layout>
                <c:manualLayout>
                  <c:x val="0.1579875816993464"/>
                  <c:y val="0.10841701388888889"/>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F8BB-452E-BFB8-1A1D90280907}"/>
                </c:ext>
              </c:extLst>
            </c:dLbl>
            <c:dLbl>
              <c:idx val="3"/>
              <c:layout>
                <c:manualLayout>
                  <c:x val="0.16864918300653595"/>
                  <c:y val="0.18855104166666667"/>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F8BB-452E-BFB8-1A1D90280907}"/>
                </c:ext>
              </c:extLst>
            </c:dLbl>
            <c:dLbl>
              <c:idx val="8"/>
              <c:layout>
                <c:manualLayout>
                  <c:x val="-0.28123921568627452"/>
                  <c:y val="-3.7262152777777766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1-F8BB-452E-BFB8-1A1D9028090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1"/>
            <c:showSerName val="0"/>
            <c:showPercent val="1"/>
            <c:showBubbleSize val="0"/>
            <c:separator>
</c:separator>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'グラフ(年齢区分）'!$M$5:$M$13</c:f>
              <c:strCache>
                <c:ptCount val="9"/>
                <c:pt idx="0">
                  <c:v>19歳以下</c:v>
                </c:pt>
                <c:pt idx="1">
                  <c:v>20歳代</c:v>
                </c:pt>
                <c:pt idx="2">
                  <c:v>30歳代</c:v>
                </c:pt>
                <c:pt idx="3">
                  <c:v>40歳代</c:v>
                </c:pt>
                <c:pt idx="4">
                  <c:v>50歳代</c:v>
                </c:pt>
                <c:pt idx="5">
                  <c:v>60歳代</c:v>
                </c:pt>
                <c:pt idx="6">
                  <c:v>70歳代</c:v>
                </c:pt>
                <c:pt idx="7">
                  <c:v>80歳代</c:v>
                </c:pt>
                <c:pt idx="8">
                  <c:v>90歳以上</c:v>
                </c:pt>
              </c:strCache>
            </c:strRef>
          </c:cat>
          <c:val>
            <c:numRef>
              <c:f>'グラフ(年齢区分）'!$N$5:$N$13</c:f>
              <c:numCache>
                <c:formatCode>#,##0"人"</c:formatCode>
                <c:ptCount val="9"/>
                <c:pt idx="0">
                  <c:v>156</c:v>
                </c:pt>
                <c:pt idx="1">
                  <c:v>330</c:v>
                </c:pt>
                <c:pt idx="2">
                  <c:v>557</c:v>
                </c:pt>
                <c:pt idx="3">
                  <c:v>1258</c:v>
                </c:pt>
                <c:pt idx="4">
                  <c:v>2400</c:v>
                </c:pt>
                <c:pt idx="5">
                  <c:v>2511</c:v>
                </c:pt>
                <c:pt idx="6">
                  <c:v>3728</c:v>
                </c:pt>
                <c:pt idx="7">
                  <c:v>3314</c:v>
                </c:pt>
                <c:pt idx="8">
                  <c:v>738</c:v>
                </c:pt>
              </c:numCache>
            </c:numRef>
          </c:val>
          <c:extLst>
            <c:ext xmlns:c16="http://schemas.microsoft.com/office/drawing/2014/chart" uri="{C3380CC4-5D6E-409C-BE32-E72D297353CC}">
              <c16:uniqueId val="{00000012-F8BB-452E-BFB8-1A1D90280907}"/>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oddHeader>&amp;C○○市町村（○○保健所圏域）の在院患者の状況</c:oddHeader>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メイリオ" panose="020B0604030504040204" pitchFamily="50" charset="-128"/>
                <a:ea typeface="メイリオ" panose="020B0604030504040204" pitchFamily="50" charset="-128"/>
                <a:cs typeface="+mn-cs"/>
              </a:defRPr>
            </a:pPr>
            <a:r>
              <a:rPr lang="en-US" altLang="ja-JP" sz="1200" b="1">
                <a:latin typeface="メイリオ" panose="020B0604030504040204" pitchFamily="50" charset="-128"/>
                <a:ea typeface="メイリオ" panose="020B0604030504040204" pitchFamily="50" charset="-128"/>
              </a:rPr>
              <a:t>65</a:t>
            </a:r>
            <a:r>
              <a:rPr lang="ja-JP" altLang="en-US" sz="1200" b="1">
                <a:latin typeface="メイリオ" panose="020B0604030504040204" pitchFamily="50" charset="-128"/>
                <a:ea typeface="メイリオ" panose="020B0604030504040204" pitchFamily="50" charset="-128"/>
              </a:rPr>
              <a:t>歳以上</a:t>
            </a:r>
            <a:endParaRPr lang="ja-JP" sz="1200" b="1">
              <a:latin typeface="メイリオ" panose="020B0604030504040204" pitchFamily="50" charset="-128"/>
              <a:ea typeface="メイリオ" panose="020B0604030504040204" pitchFamily="50" charset="-128"/>
            </a:endParaRPr>
          </a:p>
        </c:rich>
      </c:tx>
      <c:layout>
        <c:manualLayout>
          <c:xMode val="edge"/>
          <c:yMode val="edge"/>
          <c:x val="0.36990981962620362"/>
          <c:y val="8.4938356155221835E-3"/>
        </c:manualLayout>
      </c:layout>
      <c:overlay val="0"/>
      <c:spPr>
        <a:noFill/>
        <a:ln>
          <a:noFill/>
        </a:ln>
        <a:effectLst/>
      </c:spPr>
      <c:txPr>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メイリオ" panose="020B0604030504040204" pitchFamily="50" charset="-128"/>
              <a:ea typeface="メイリオ" panose="020B0604030504040204" pitchFamily="50" charset="-128"/>
              <a:cs typeface="+mn-cs"/>
            </a:defRPr>
          </a:pPr>
          <a:endParaRPr lang="ja-JP"/>
        </a:p>
      </c:txPr>
    </c:title>
    <c:autoTitleDeleted val="0"/>
    <c:plotArea>
      <c:layout/>
      <c:barChart>
        <c:barDir val="bar"/>
        <c:grouping val="clustered"/>
        <c:varyColors val="0"/>
        <c:ser>
          <c:idx val="0"/>
          <c:order val="0"/>
          <c:tx>
            <c:strRef>
              <c:f>'グラフ(疾患名)'!$O$45</c:f>
              <c:strCache>
                <c:ptCount val="1"/>
                <c:pt idx="0">
                  <c:v>人数</c:v>
                </c:pt>
              </c:strCache>
            </c:strRef>
          </c:tx>
          <c:spPr>
            <a:solidFill>
              <a:srgbClr val="F8FED2"/>
            </a:solidFill>
            <a:ln w="9525" cap="flat" cmpd="sng" algn="ctr">
              <a:solidFill>
                <a:srgbClr val="FFFF00"/>
              </a:solidFill>
              <a:round/>
            </a:ln>
            <a:effectLst>
              <a:outerShdw blurRad="40000" dist="20000" dir="5400000" rotWithShape="0">
                <a:srgbClr val="000000">
                  <a:alpha val="38000"/>
                </a:srgbClr>
              </a:outerShdw>
            </a:effectLst>
          </c:spPr>
          <c:invertIfNegative val="0"/>
          <c:dPt>
            <c:idx val="0"/>
            <c:invertIfNegative val="0"/>
            <c:bubble3D val="0"/>
            <c:spPr>
              <a:solidFill>
                <a:srgbClr val="F8FED2"/>
              </a:solidFill>
              <a:ln w="9525" cap="flat" cmpd="sng" algn="ctr">
                <a:solidFill>
                  <a:srgbClr val="FFFF00"/>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196B-4E6B-9279-E7EDE4536D1F}"/>
              </c:ext>
            </c:extLst>
          </c:dPt>
          <c:dPt>
            <c:idx val="1"/>
            <c:invertIfNegative val="0"/>
            <c:bubble3D val="0"/>
            <c:spPr>
              <a:solidFill>
                <a:srgbClr val="F8FED2"/>
              </a:solidFill>
              <a:ln w="9525" cap="flat" cmpd="sng" algn="ctr">
                <a:solidFill>
                  <a:srgbClr val="FFFF00"/>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196B-4E6B-9279-E7EDE4536D1F}"/>
              </c:ext>
            </c:extLst>
          </c:dPt>
          <c:dPt>
            <c:idx val="2"/>
            <c:invertIfNegative val="0"/>
            <c:bubble3D val="0"/>
            <c:spPr>
              <a:solidFill>
                <a:srgbClr val="F8FED2"/>
              </a:solidFill>
              <a:ln w="9525" cap="flat" cmpd="sng" algn="ctr">
                <a:solidFill>
                  <a:srgbClr val="FFFF00"/>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5-196B-4E6B-9279-E7EDE4536D1F}"/>
              </c:ext>
            </c:extLst>
          </c:dPt>
          <c:dPt>
            <c:idx val="3"/>
            <c:invertIfNegative val="0"/>
            <c:bubble3D val="0"/>
            <c:spPr>
              <a:solidFill>
                <a:srgbClr val="F8FED2"/>
              </a:solidFill>
              <a:ln w="9525" cap="flat" cmpd="sng" algn="ctr">
                <a:solidFill>
                  <a:srgbClr val="FFFF00"/>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7-196B-4E6B-9279-E7EDE4536D1F}"/>
              </c:ext>
            </c:extLst>
          </c:dPt>
          <c:dPt>
            <c:idx val="4"/>
            <c:invertIfNegative val="0"/>
            <c:bubble3D val="0"/>
            <c:spPr>
              <a:solidFill>
                <a:srgbClr val="F8FED2"/>
              </a:solidFill>
              <a:ln w="9525" cap="flat" cmpd="sng" algn="ctr">
                <a:solidFill>
                  <a:srgbClr val="FFFF00"/>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9-196B-4E6B-9279-E7EDE4536D1F}"/>
              </c:ext>
            </c:extLst>
          </c:dPt>
          <c:dPt>
            <c:idx val="5"/>
            <c:invertIfNegative val="0"/>
            <c:bubble3D val="0"/>
            <c:spPr>
              <a:solidFill>
                <a:srgbClr val="F8FED2"/>
              </a:solidFill>
              <a:ln w="9525" cap="flat" cmpd="sng" algn="ctr">
                <a:solidFill>
                  <a:srgbClr val="FFFF00"/>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B-196B-4E6B-9279-E7EDE4536D1F}"/>
              </c:ext>
            </c:extLst>
          </c:dPt>
          <c:dPt>
            <c:idx val="6"/>
            <c:invertIfNegative val="0"/>
            <c:bubble3D val="0"/>
            <c:spPr>
              <a:solidFill>
                <a:srgbClr val="F8FED2"/>
              </a:solidFill>
              <a:ln w="9525" cap="flat" cmpd="sng" algn="ctr">
                <a:solidFill>
                  <a:srgbClr val="FFFF00"/>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D-196B-4E6B-9279-E7EDE4536D1F}"/>
              </c:ext>
            </c:extLst>
          </c:dPt>
          <c:dPt>
            <c:idx val="7"/>
            <c:invertIfNegative val="0"/>
            <c:bubble3D val="0"/>
            <c:spPr>
              <a:solidFill>
                <a:srgbClr val="F8FED2"/>
              </a:solidFill>
              <a:ln w="9525" cap="flat" cmpd="sng" algn="ctr">
                <a:solidFill>
                  <a:srgbClr val="FFFF00"/>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F-196B-4E6B-9279-E7EDE4536D1F}"/>
              </c:ext>
            </c:extLst>
          </c:dPt>
          <c:dPt>
            <c:idx val="8"/>
            <c:invertIfNegative val="0"/>
            <c:bubble3D val="0"/>
            <c:spPr>
              <a:solidFill>
                <a:srgbClr val="F8FED2"/>
              </a:solidFill>
              <a:ln w="9525" cap="flat" cmpd="sng" algn="ctr">
                <a:solidFill>
                  <a:srgbClr val="FFFF00"/>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1-196B-4E6B-9279-E7EDE4536D1F}"/>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'グラフ(疾患名)'!$T$5:$T$16</c:f>
              <c:strCache>
                <c:ptCount val="12"/>
                <c:pt idx="0">
                  <c:v>F0</c:v>
                </c:pt>
                <c:pt idx="1">
                  <c:v>F1</c:v>
                </c:pt>
                <c:pt idx="2">
                  <c:v>F2</c:v>
                </c:pt>
                <c:pt idx="3">
                  <c:v>F3</c:v>
                </c:pt>
                <c:pt idx="4">
                  <c:v>F4</c:v>
                </c:pt>
                <c:pt idx="5">
                  <c:v>F5</c:v>
                </c:pt>
                <c:pt idx="6">
                  <c:v>F6</c:v>
                </c:pt>
                <c:pt idx="7">
                  <c:v>F7</c:v>
                </c:pt>
                <c:pt idx="8">
                  <c:v>F8</c:v>
                </c:pt>
                <c:pt idx="9">
                  <c:v>F9</c:v>
                </c:pt>
                <c:pt idx="10">
                  <c:v>てんかん</c:v>
                </c:pt>
                <c:pt idx="11">
                  <c:v>その他</c:v>
                </c:pt>
              </c:strCache>
            </c:strRef>
          </c:cat>
          <c:val>
            <c:numRef>
              <c:f>'グラフ(疾患名)'!$O$46:$O$57</c:f>
              <c:numCache>
                <c:formatCode>#,##0"人"</c:formatCode>
                <c:ptCount val="12"/>
                <c:pt idx="0">
                  <c:v>3927</c:v>
                </c:pt>
                <c:pt idx="1">
                  <c:v>385</c:v>
                </c:pt>
                <c:pt idx="2">
                  <c:v>3459</c:v>
                </c:pt>
                <c:pt idx="3">
                  <c:v>954</c:v>
                </c:pt>
                <c:pt idx="4">
                  <c:v>101</c:v>
                </c:pt>
                <c:pt idx="5">
                  <c:v>2</c:v>
                </c:pt>
                <c:pt idx="6">
                  <c:v>10</c:v>
                </c:pt>
                <c:pt idx="7">
                  <c:v>53</c:v>
                </c:pt>
                <c:pt idx="8">
                  <c:v>9</c:v>
                </c:pt>
                <c:pt idx="9">
                  <c:v>11</c:v>
                </c:pt>
                <c:pt idx="10">
                  <c:v>18</c:v>
                </c:pt>
                <c:pt idx="11">
                  <c:v>128</c:v>
                </c:pt>
              </c:numCache>
            </c:numRef>
          </c:val>
          <c:extLst>
            <c:ext xmlns:c16="http://schemas.microsoft.com/office/drawing/2014/chart" uri="{C3380CC4-5D6E-409C-BE32-E72D297353CC}">
              <c16:uniqueId val="{00000012-196B-4E6B-9279-E7EDE4536D1F}"/>
            </c:ext>
          </c:extLst>
        </c:ser>
        <c:dLbls>
          <c:showLegendKey val="0"/>
          <c:showVal val="0"/>
          <c:showCatName val="0"/>
          <c:showSerName val="0"/>
          <c:showPercent val="0"/>
          <c:showBubbleSize val="0"/>
        </c:dLbls>
        <c:gapWidth val="100"/>
        <c:axId val="635408048"/>
        <c:axId val="635413872"/>
      </c:barChart>
      <c:valAx>
        <c:axId val="635413872"/>
        <c:scaling>
          <c:orientation val="minMax"/>
        </c:scaling>
        <c:delete val="0"/>
        <c:axPos val="t"/>
        <c:majorGridlines>
          <c:spPr>
            <a:ln w="9525" cap="flat" cmpd="sng" algn="ctr">
              <a:solidFill>
                <a:schemeClr val="tx1">
                  <a:lumMod val="15000"/>
                  <a:lumOff val="85000"/>
                </a:schemeClr>
              </a:solidFill>
              <a:round/>
            </a:ln>
            <a:effectLst/>
          </c:spPr>
        </c:majorGridlines>
        <c:numFmt formatCode="#,##0&quot;人&quot;"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635408048"/>
        <c:crosses val="autoZero"/>
        <c:crossBetween val="between"/>
      </c:valAx>
      <c:catAx>
        <c:axId val="635408048"/>
        <c:scaling>
          <c:orientation val="maxMin"/>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635413872"/>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メイリオ" panose="020B0604030504040204" pitchFamily="50" charset="-128"/>
                <a:ea typeface="メイリオ" panose="020B0604030504040204" pitchFamily="50" charset="-128"/>
                <a:cs typeface="+mn-cs"/>
              </a:defRPr>
            </a:pPr>
            <a:r>
              <a:rPr lang="en-US" altLang="ja-JP" sz="1200" b="1">
                <a:latin typeface="メイリオ" panose="020B0604030504040204" pitchFamily="50" charset="-128"/>
                <a:ea typeface="メイリオ" panose="020B0604030504040204" pitchFamily="50" charset="-128"/>
              </a:rPr>
              <a:t>65</a:t>
            </a:r>
            <a:r>
              <a:rPr lang="ja-JP" altLang="en-US" sz="1200" b="1">
                <a:latin typeface="メイリオ" panose="020B0604030504040204" pitchFamily="50" charset="-128"/>
                <a:ea typeface="メイリオ" panose="020B0604030504040204" pitchFamily="50" charset="-128"/>
              </a:rPr>
              <a:t>歳以上＿寛解・院内寛解群</a:t>
            </a:r>
            <a:endParaRPr lang="ja-JP" sz="1200" b="1">
              <a:latin typeface="メイリオ" panose="020B0604030504040204" pitchFamily="50" charset="-128"/>
              <a:ea typeface="メイリオ" panose="020B0604030504040204" pitchFamily="50" charset="-128"/>
            </a:endParaRPr>
          </a:p>
        </c:rich>
      </c:tx>
      <c:layout>
        <c:manualLayout>
          <c:xMode val="edge"/>
          <c:yMode val="edge"/>
          <c:x val="0.159632072694495"/>
          <c:y val="8.4938356155221835E-3"/>
        </c:manualLayout>
      </c:layout>
      <c:overlay val="0"/>
      <c:spPr>
        <a:noFill/>
        <a:ln>
          <a:noFill/>
        </a:ln>
        <a:effectLst/>
      </c:spPr>
      <c:txPr>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メイリオ" panose="020B0604030504040204" pitchFamily="50" charset="-128"/>
              <a:ea typeface="メイリオ" panose="020B0604030504040204" pitchFamily="50" charset="-128"/>
              <a:cs typeface="+mn-cs"/>
            </a:defRPr>
          </a:pPr>
          <a:endParaRPr lang="ja-JP"/>
        </a:p>
      </c:txPr>
    </c:title>
    <c:autoTitleDeleted val="0"/>
    <c:plotArea>
      <c:layout/>
      <c:barChart>
        <c:barDir val="bar"/>
        <c:grouping val="clustered"/>
        <c:varyColors val="0"/>
        <c:ser>
          <c:idx val="2"/>
          <c:order val="0"/>
          <c:spPr>
            <a:solidFill>
              <a:srgbClr val="F8FED2"/>
            </a:solidFill>
            <a:ln w="9525" cap="flat" cmpd="sng" algn="ctr">
              <a:solidFill>
                <a:srgbClr val="FFFF00"/>
              </a:solidFill>
              <a:round/>
            </a:ln>
            <a:effectLst>
              <a:outerShdw blurRad="40000" dist="20000" dir="5400000" rotWithShape="0">
                <a:srgbClr val="000000">
                  <a:alpha val="38000"/>
                </a:srgbClr>
              </a:outerShdw>
            </a:effectLst>
          </c:spPr>
          <c:invertIfNegative val="0"/>
          <c:dPt>
            <c:idx val="0"/>
            <c:invertIfNegative val="0"/>
            <c:bubble3D val="0"/>
            <c:spPr>
              <a:solidFill>
                <a:srgbClr val="F8FED2"/>
              </a:solidFill>
              <a:ln w="9525" cap="flat" cmpd="sng" algn="ctr">
                <a:solidFill>
                  <a:srgbClr val="FFFF00"/>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F055-4CA5-BF89-8FDF1AA0C46E}"/>
              </c:ext>
            </c:extLst>
          </c:dPt>
          <c:dPt>
            <c:idx val="1"/>
            <c:invertIfNegative val="0"/>
            <c:bubble3D val="0"/>
            <c:spPr>
              <a:solidFill>
                <a:srgbClr val="F8FED2"/>
              </a:solidFill>
              <a:ln w="9525" cap="flat" cmpd="sng" algn="ctr">
                <a:solidFill>
                  <a:srgbClr val="FFFF00"/>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F055-4CA5-BF89-8FDF1AA0C46E}"/>
              </c:ext>
            </c:extLst>
          </c:dPt>
          <c:dPt>
            <c:idx val="2"/>
            <c:invertIfNegative val="0"/>
            <c:bubble3D val="0"/>
            <c:spPr>
              <a:solidFill>
                <a:srgbClr val="F8FED2"/>
              </a:solidFill>
              <a:ln w="9525" cap="flat" cmpd="sng" algn="ctr">
                <a:solidFill>
                  <a:srgbClr val="FFFF00"/>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5-F055-4CA5-BF89-8FDF1AA0C46E}"/>
              </c:ext>
            </c:extLst>
          </c:dPt>
          <c:dPt>
            <c:idx val="3"/>
            <c:invertIfNegative val="0"/>
            <c:bubble3D val="0"/>
            <c:spPr>
              <a:solidFill>
                <a:srgbClr val="F8FED2"/>
              </a:solidFill>
              <a:ln w="9525" cap="flat" cmpd="sng" algn="ctr">
                <a:solidFill>
                  <a:srgbClr val="FFFF00"/>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7-F055-4CA5-BF89-8FDF1AA0C46E}"/>
              </c:ext>
            </c:extLst>
          </c:dPt>
          <c:dPt>
            <c:idx val="4"/>
            <c:invertIfNegative val="0"/>
            <c:bubble3D val="0"/>
            <c:spPr>
              <a:solidFill>
                <a:srgbClr val="F8FED2"/>
              </a:solidFill>
              <a:ln w="9525" cap="flat" cmpd="sng" algn="ctr">
                <a:solidFill>
                  <a:srgbClr val="FFFF00"/>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9-F055-4CA5-BF89-8FDF1AA0C46E}"/>
              </c:ext>
            </c:extLst>
          </c:dPt>
          <c:dPt>
            <c:idx val="5"/>
            <c:invertIfNegative val="0"/>
            <c:bubble3D val="0"/>
            <c:spPr>
              <a:solidFill>
                <a:srgbClr val="F8FED2"/>
              </a:solidFill>
              <a:ln w="9525" cap="flat" cmpd="sng" algn="ctr">
                <a:solidFill>
                  <a:srgbClr val="FFFF00"/>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B-F055-4CA5-BF89-8FDF1AA0C46E}"/>
              </c:ext>
            </c:extLst>
          </c:dPt>
          <c:dPt>
            <c:idx val="6"/>
            <c:invertIfNegative val="0"/>
            <c:bubble3D val="0"/>
            <c:spPr>
              <a:solidFill>
                <a:srgbClr val="F8FED2"/>
              </a:solidFill>
              <a:ln w="9525" cap="flat" cmpd="sng" algn="ctr">
                <a:solidFill>
                  <a:srgbClr val="FFFF00"/>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D-F055-4CA5-BF89-8FDF1AA0C46E}"/>
              </c:ext>
            </c:extLst>
          </c:dPt>
          <c:dPt>
            <c:idx val="7"/>
            <c:invertIfNegative val="0"/>
            <c:bubble3D val="0"/>
            <c:spPr>
              <a:solidFill>
                <a:srgbClr val="F8FED2"/>
              </a:solidFill>
              <a:ln w="9525" cap="flat" cmpd="sng" algn="ctr">
                <a:solidFill>
                  <a:srgbClr val="FFFF00"/>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F-F055-4CA5-BF89-8FDF1AA0C46E}"/>
              </c:ext>
            </c:extLst>
          </c:dPt>
          <c:dPt>
            <c:idx val="8"/>
            <c:invertIfNegative val="0"/>
            <c:bubble3D val="0"/>
            <c:spPr>
              <a:solidFill>
                <a:srgbClr val="F8FED2"/>
              </a:solidFill>
              <a:ln w="9525" cap="flat" cmpd="sng" algn="ctr">
                <a:solidFill>
                  <a:srgbClr val="FFFF00"/>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1-F055-4CA5-BF89-8FDF1AA0C46E}"/>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'グラフ(疾患名)'!$T$5:$T$16</c:f>
              <c:strCache>
                <c:ptCount val="12"/>
                <c:pt idx="0">
                  <c:v>F0</c:v>
                </c:pt>
                <c:pt idx="1">
                  <c:v>F1</c:v>
                </c:pt>
                <c:pt idx="2">
                  <c:v>F2</c:v>
                </c:pt>
                <c:pt idx="3">
                  <c:v>F3</c:v>
                </c:pt>
                <c:pt idx="4">
                  <c:v>F4</c:v>
                </c:pt>
                <c:pt idx="5">
                  <c:v>F5</c:v>
                </c:pt>
                <c:pt idx="6">
                  <c:v>F6</c:v>
                </c:pt>
                <c:pt idx="7">
                  <c:v>F7</c:v>
                </c:pt>
                <c:pt idx="8">
                  <c:v>F8</c:v>
                </c:pt>
                <c:pt idx="9">
                  <c:v>F9</c:v>
                </c:pt>
                <c:pt idx="10">
                  <c:v>てんかん</c:v>
                </c:pt>
                <c:pt idx="11">
                  <c:v>その他</c:v>
                </c:pt>
              </c:strCache>
            </c:strRef>
          </c:cat>
          <c:val>
            <c:numRef>
              <c:f>'グラフ(疾患名)'!$P$46:$P$57</c:f>
              <c:numCache>
                <c:formatCode>#,##0"人"</c:formatCode>
                <c:ptCount val="12"/>
                <c:pt idx="0">
                  <c:v>296</c:v>
                </c:pt>
                <c:pt idx="1">
                  <c:v>88</c:v>
                </c:pt>
                <c:pt idx="2">
                  <c:v>257</c:v>
                </c:pt>
                <c:pt idx="3">
                  <c:v>149</c:v>
                </c:pt>
                <c:pt idx="4">
                  <c:v>22</c:v>
                </c:pt>
                <c:pt idx="5">
                  <c:v>0</c:v>
                </c:pt>
                <c:pt idx="6">
                  <c:v>4</c:v>
                </c:pt>
                <c:pt idx="7">
                  <c:v>3</c:v>
                </c:pt>
                <c:pt idx="8">
                  <c:v>2</c:v>
                </c:pt>
                <c:pt idx="9">
                  <c:v>1</c:v>
                </c:pt>
                <c:pt idx="10">
                  <c:v>4</c:v>
                </c:pt>
                <c:pt idx="11">
                  <c:v>8</c:v>
                </c:pt>
              </c:numCache>
            </c:numRef>
          </c:val>
          <c:extLst>
            <c:ext xmlns:c16="http://schemas.microsoft.com/office/drawing/2014/chart" uri="{C3380CC4-5D6E-409C-BE32-E72D297353CC}">
              <c16:uniqueId val="{00000012-F055-4CA5-BF89-8FDF1AA0C46E}"/>
            </c:ext>
          </c:extLst>
        </c:ser>
        <c:dLbls>
          <c:showLegendKey val="0"/>
          <c:showVal val="0"/>
          <c:showCatName val="0"/>
          <c:showSerName val="0"/>
          <c:showPercent val="0"/>
          <c:showBubbleSize val="0"/>
        </c:dLbls>
        <c:gapWidth val="100"/>
        <c:axId val="292094896"/>
        <c:axId val="292097808"/>
      </c:barChart>
      <c:valAx>
        <c:axId val="292097808"/>
        <c:scaling>
          <c:orientation val="minMax"/>
        </c:scaling>
        <c:delete val="0"/>
        <c:axPos val="t"/>
        <c:majorGridlines>
          <c:spPr>
            <a:ln w="9525" cap="flat" cmpd="sng" algn="ctr">
              <a:solidFill>
                <a:schemeClr val="tx1">
                  <a:lumMod val="15000"/>
                  <a:lumOff val="85000"/>
                </a:schemeClr>
              </a:solidFill>
              <a:round/>
            </a:ln>
            <a:effectLst/>
          </c:spPr>
        </c:majorGridlines>
        <c:numFmt formatCode="#,##0&quot;人&quot;"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292094896"/>
        <c:crosses val="autoZero"/>
        <c:crossBetween val="between"/>
      </c:valAx>
      <c:catAx>
        <c:axId val="292094896"/>
        <c:scaling>
          <c:orientation val="maxMin"/>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292097808"/>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メイリオ" panose="020B0604030504040204" pitchFamily="50" charset="-128"/>
                <a:ea typeface="メイリオ" panose="020B0604030504040204" pitchFamily="50" charset="-128"/>
                <a:cs typeface="+mn-cs"/>
              </a:defRPr>
            </a:pPr>
            <a:r>
              <a:rPr lang="en-US" altLang="ja-JP" sz="1200" b="1">
                <a:latin typeface="メイリオ" panose="020B0604030504040204" pitchFamily="50" charset="-128"/>
                <a:ea typeface="メイリオ" panose="020B0604030504040204" pitchFamily="50" charset="-128"/>
              </a:rPr>
              <a:t>1</a:t>
            </a:r>
            <a:r>
              <a:rPr lang="ja-JP" altLang="en-US" sz="1200" b="1">
                <a:latin typeface="メイリオ" panose="020B0604030504040204" pitchFamily="50" charset="-128"/>
                <a:ea typeface="メイリオ" panose="020B0604030504040204" pitchFamily="50" charset="-128"/>
              </a:rPr>
              <a:t>年以上＿寛解・院内寛解群</a:t>
            </a:r>
            <a:endParaRPr lang="ja-JP" sz="1200" b="1">
              <a:latin typeface="メイリオ" panose="020B0604030504040204" pitchFamily="50" charset="-128"/>
              <a:ea typeface="メイリオ" panose="020B0604030504040204" pitchFamily="50" charset="-128"/>
            </a:endParaRPr>
          </a:p>
        </c:rich>
      </c:tx>
      <c:layout>
        <c:manualLayout>
          <c:xMode val="edge"/>
          <c:yMode val="edge"/>
          <c:x val="0.22917408818129503"/>
          <c:y val="1.2740753423283275E-2"/>
        </c:manualLayout>
      </c:layout>
      <c:overlay val="0"/>
      <c:spPr>
        <a:noFill/>
        <a:ln>
          <a:noFill/>
        </a:ln>
        <a:effectLst/>
      </c:spPr>
      <c:txPr>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メイリオ" panose="020B0604030504040204" pitchFamily="50" charset="-128"/>
              <a:ea typeface="メイリオ" panose="020B0604030504040204" pitchFamily="50" charset="-128"/>
              <a:cs typeface="+mn-cs"/>
            </a:defRPr>
          </a:pPr>
          <a:endParaRPr lang="ja-JP"/>
        </a:p>
      </c:txPr>
    </c:title>
    <c:autoTitleDeleted val="0"/>
    <c:plotArea>
      <c:layout/>
      <c:barChart>
        <c:barDir val="bar"/>
        <c:grouping val="clustered"/>
        <c:varyColors val="0"/>
        <c:ser>
          <c:idx val="0"/>
          <c:order val="0"/>
          <c:tx>
            <c:strRef>
              <c:f>'グラフ(疾患名)'!$R$23</c:f>
              <c:strCache>
                <c:ptCount val="1"/>
                <c:pt idx="0">
                  <c:v>計</c:v>
                </c:pt>
              </c:strCache>
            </c:strRef>
          </c:tx>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invertIfNegative val="0"/>
          <c:dPt>
            <c:idx val="0"/>
            <c:invertIfNegative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35F0-45D8-9675-A466BE431B89}"/>
              </c:ext>
            </c:extLst>
          </c:dPt>
          <c:dPt>
            <c:idx val="1"/>
            <c:invertIfNegative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35F0-45D8-9675-A466BE431B89}"/>
              </c:ext>
            </c:extLst>
          </c:dPt>
          <c:dPt>
            <c:idx val="2"/>
            <c:invertIfNegative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5-35F0-45D8-9675-A466BE431B89}"/>
              </c:ext>
            </c:extLst>
          </c:dPt>
          <c:dPt>
            <c:idx val="3"/>
            <c:invertIfNegative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7-35F0-45D8-9675-A466BE431B89}"/>
              </c:ext>
            </c:extLst>
          </c:dPt>
          <c:dPt>
            <c:idx val="4"/>
            <c:invertIfNegative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9-35F0-45D8-9675-A466BE431B89}"/>
              </c:ext>
            </c:extLst>
          </c:dPt>
          <c:dPt>
            <c:idx val="5"/>
            <c:invertIfNegative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B-35F0-45D8-9675-A466BE431B89}"/>
              </c:ext>
            </c:extLst>
          </c:dPt>
          <c:dPt>
            <c:idx val="6"/>
            <c:invertIfNegative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D-35F0-45D8-9675-A466BE431B89}"/>
              </c:ext>
            </c:extLst>
          </c:dPt>
          <c:dPt>
            <c:idx val="7"/>
            <c:invertIfNegative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F-35F0-45D8-9675-A466BE431B89}"/>
              </c:ext>
            </c:extLst>
          </c:dPt>
          <c:dPt>
            <c:idx val="8"/>
            <c:invertIfNegative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1-35F0-45D8-9675-A466BE431B89}"/>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'グラフ(疾患名)'!$T$5:$T$16</c:f>
              <c:strCache>
                <c:ptCount val="12"/>
                <c:pt idx="0">
                  <c:v>F0</c:v>
                </c:pt>
                <c:pt idx="1">
                  <c:v>F1</c:v>
                </c:pt>
                <c:pt idx="2">
                  <c:v>F2</c:v>
                </c:pt>
                <c:pt idx="3">
                  <c:v>F3</c:v>
                </c:pt>
                <c:pt idx="4">
                  <c:v>F4</c:v>
                </c:pt>
                <c:pt idx="5">
                  <c:v>F5</c:v>
                </c:pt>
                <c:pt idx="6">
                  <c:v>F6</c:v>
                </c:pt>
                <c:pt idx="7">
                  <c:v>F7</c:v>
                </c:pt>
                <c:pt idx="8">
                  <c:v>F8</c:v>
                </c:pt>
                <c:pt idx="9">
                  <c:v>F9</c:v>
                </c:pt>
                <c:pt idx="10">
                  <c:v>てんかん</c:v>
                </c:pt>
                <c:pt idx="11">
                  <c:v>その他</c:v>
                </c:pt>
              </c:strCache>
            </c:strRef>
          </c:cat>
          <c:val>
            <c:numRef>
              <c:f>'グラフ(疾患名)'!$R$24:$R$35</c:f>
              <c:numCache>
                <c:formatCode>#,##0"人"</c:formatCode>
                <c:ptCount val="12"/>
                <c:pt idx="0">
                  <c:v>87</c:v>
                </c:pt>
                <c:pt idx="1">
                  <c:v>35</c:v>
                </c:pt>
                <c:pt idx="2">
                  <c:v>309</c:v>
                </c:pt>
                <c:pt idx="3">
                  <c:v>67</c:v>
                </c:pt>
                <c:pt idx="4">
                  <c:v>8</c:v>
                </c:pt>
                <c:pt idx="5">
                  <c:v>0</c:v>
                </c:pt>
                <c:pt idx="6">
                  <c:v>3</c:v>
                </c:pt>
                <c:pt idx="7">
                  <c:v>6</c:v>
                </c:pt>
                <c:pt idx="8">
                  <c:v>3</c:v>
                </c:pt>
                <c:pt idx="9">
                  <c:v>0</c:v>
                </c:pt>
                <c:pt idx="10">
                  <c:v>2</c:v>
                </c:pt>
                <c:pt idx="11">
                  <c:v>1</c:v>
                </c:pt>
              </c:numCache>
            </c:numRef>
          </c:val>
          <c:extLst>
            <c:ext xmlns:c16="http://schemas.microsoft.com/office/drawing/2014/chart" uri="{C3380CC4-5D6E-409C-BE32-E72D297353CC}">
              <c16:uniqueId val="{00000012-35F0-45D8-9675-A466BE431B89}"/>
            </c:ext>
          </c:extLst>
        </c:ser>
        <c:dLbls>
          <c:showLegendKey val="0"/>
          <c:showVal val="0"/>
          <c:showCatName val="0"/>
          <c:showSerName val="0"/>
          <c:showPercent val="0"/>
          <c:showBubbleSize val="0"/>
        </c:dLbls>
        <c:gapWidth val="100"/>
        <c:axId val="630611664"/>
        <c:axId val="630606256"/>
      </c:barChart>
      <c:valAx>
        <c:axId val="630606256"/>
        <c:scaling>
          <c:orientation val="minMax"/>
        </c:scaling>
        <c:delete val="0"/>
        <c:axPos val="t"/>
        <c:majorGridlines>
          <c:spPr>
            <a:ln w="9525" cap="flat" cmpd="sng" algn="ctr">
              <a:solidFill>
                <a:schemeClr val="tx1">
                  <a:lumMod val="15000"/>
                  <a:lumOff val="85000"/>
                </a:schemeClr>
              </a:solidFill>
              <a:round/>
            </a:ln>
            <a:effectLst/>
          </c:spPr>
        </c:majorGridlines>
        <c:numFmt formatCode="#,##0&quot;人&quot;"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630611664"/>
        <c:crosses val="autoZero"/>
        <c:crossBetween val="between"/>
      </c:valAx>
      <c:catAx>
        <c:axId val="630611664"/>
        <c:scaling>
          <c:orientation val="maxMin"/>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630606256"/>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mn-lt"/>
                <a:ea typeface="+mn-ea"/>
                <a:cs typeface="+mn-cs"/>
              </a:defRPr>
            </a:pPr>
            <a:r>
              <a:rPr lang="ja-JP" altLang="en-US" sz="1200" b="1"/>
              <a:t>在院期間＿患者全体</a:t>
            </a:r>
            <a:endParaRPr lang="ja-JP" sz="1200" b="1"/>
          </a:p>
        </c:rich>
      </c:tx>
      <c:overlay val="0"/>
      <c:spPr>
        <a:noFill/>
        <a:ln>
          <a:noFill/>
        </a:ln>
        <a:effectLst/>
      </c:spPr>
      <c:txPr>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mn-lt"/>
              <a:ea typeface="+mn-ea"/>
              <a:cs typeface="+mn-cs"/>
            </a:defRPr>
          </a:pPr>
          <a:endParaRPr lang="ja-JP"/>
        </a:p>
      </c:txPr>
    </c:title>
    <c:autoTitleDeleted val="0"/>
    <c:plotArea>
      <c:layout/>
      <c:barChart>
        <c:barDir val="bar"/>
        <c:grouping val="stacked"/>
        <c:varyColors val="0"/>
        <c:ser>
          <c:idx val="0"/>
          <c:order val="0"/>
          <c:tx>
            <c:strRef>
              <c:f>'グラフ(在院期間) '!$M$3</c:f>
              <c:strCache>
                <c:ptCount val="1"/>
                <c:pt idx="0">
                  <c:v>65歳未満</c:v>
                </c:pt>
              </c:strCache>
            </c:strRef>
          </c:tx>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invertIfNegative val="0"/>
          <c:dLbls>
            <c:dLbl>
              <c:idx val="0"/>
              <c:tx>
                <c:rich>
                  <a:bodyPr/>
                  <a:lstStyle/>
                  <a:p>
                    <a:fld id="{C24C163E-0F92-4AD2-91CC-E86CBC79E9BD}"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92B7-4A50-8C5E-7771008A3F96}"/>
                </c:ext>
              </c:extLst>
            </c:dLbl>
            <c:dLbl>
              <c:idx val="1"/>
              <c:tx>
                <c:rich>
                  <a:bodyPr/>
                  <a:lstStyle/>
                  <a:p>
                    <a:fld id="{5A968474-F7BA-494F-9CB8-0C8DA05AB8B8}"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92B7-4A50-8C5E-7771008A3F96}"/>
                </c:ext>
              </c:extLst>
            </c:dLbl>
            <c:dLbl>
              <c:idx val="2"/>
              <c:tx>
                <c:rich>
                  <a:bodyPr/>
                  <a:lstStyle/>
                  <a:p>
                    <a:fld id="{81F02D1F-C09C-4989-8E24-B3A0A5C40550}"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92B7-4A50-8C5E-7771008A3F96}"/>
                </c:ext>
              </c:extLst>
            </c:dLbl>
            <c:dLbl>
              <c:idx val="3"/>
              <c:tx>
                <c:rich>
                  <a:bodyPr/>
                  <a:lstStyle/>
                  <a:p>
                    <a:fld id="{02A5D4E4-6EFC-44D3-A34F-CAB8A8EDC4FA}"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92B7-4A50-8C5E-7771008A3F9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ja-JP"/>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a:solidFill>
                        <a:schemeClr val="tx1">
                          <a:lumMod val="35000"/>
                          <a:lumOff val="65000"/>
                        </a:schemeClr>
                      </a:solidFill>
                    </a:ln>
                    <a:effectLst/>
                  </c:spPr>
                </c15:leaderLines>
              </c:ext>
            </c:extLst>
          </c:dLbls>
          <c:cat>
            <c:strRef>
              <c:f>'グラフ(在院期間) '!$L$4:$L$7</c:f>
              <c:strCache>
                <c:ptCount val="4"/>
                <c:pt idx="0">
                  <c:v>1年未満</c:v>
                </c:pt>
                <c:pt idx="1">
                  <c:v>1年以上5年未満</c:v>
                </c:pt>
                <c:pt idx="2">
                  <c:v>5年以上10年未満</c:v>
                </c:pt>
                <c:pt idx="3">
                  <c:v>10年以上</c:v>
                </c:pt>
              </c:strCache>
            </c:strRef>
          </c:cat>
          <c:val>
            <c:numRef>
              <c:f>'グラフ(在院期間) '!$M$4:$M$7</c:f>
              <c:numCache>
                <c:formatCode>#,##0"人"</c:formatCode>
                <c:ptCount val="4"/>
                <c:pt idx="0">
                  <c:v>2683</c:v>
                </c:pt>
                <c:pt idx="1">
                  <c:v>1506</c:v>
                </c:pt>
                <c:pt idx="2">
                  <c:v>814</c:v>
                </c:pt>
                <c:pt idx="3">
                  <c:v>932</c:v>
                </c:pt>
              </c:numCache>
            </c:numRef>
          </c:val>
          <c:extLst>
            <c:ext xmlns:c15="http://schemas.microsoft.com/office/drawing/2012/chart" uri="{02D57815-91ED-43cb-92C2-25804820EDAC}">
              <c15:datalabelsRange>
                <c15:f>'グラフ(在院期間) '!$P$4:$P$7</c15:f>
                <c15:dlblRangeCache>
                  <c:ptCount val="4"/>
                  <c:pt idx="0">
                    <c:v>43.1%</c:v>
                  </c:pt>
                  <c:pt idx="1">
                    <c:v>32.5%</c:v>
                  </c:pt>
                  <c:pt idx="2">
                    <c:v>42.6%</c:v>
                  </c:pt>
                  <c:pt idx="3">
                    <c:v>42.0%</c:v>
                  </c:pt>
                </c15:dlblRangeCache>
              </c15:datalabelsRange>
            </c:ext>
            <c:ext xmlns:c16="http://schemas.microsoft.com/office/drawing/2014/chart" uri="{C3380CC4-5D6E-409C-BE32-E72D297353CC}">
              <c16:uniqueId val="{00000000-92B7-4A50-8C5E-7771008A3F96}"/>
            </c:ext>
          </c:extLst>
        </c:ser>
        <c:ser>
          <c:idx val="1"/>
          <c:order val="1"/>
          <c:tx>
            <c:strRef>
              <c:f>'グラフ(在院期間) '!$N$3</c:f>
              <c:strCache>
                <c:ptCount val="1"/>
                <c:pt idx="0">
                  <c:v>65歳以上</c:v>
                </c:pt>
              </c:strCache>
            </c:strRef>
          </c:tx>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invertIfNegative val="0"/>
          <c:dLbls>
            <c:dLbl>
              <c:idx val="0"/>
              <c:tx>
                <c:rich>
                  <a:bodyPr/>
                  <a:lstStyle/>
                  <a:p>
                    <a:fld id="{63935A63-6BCF-4002-9C35-CB57B14E43E0}"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92B7-4A50-8C5E-7771008A3F96}"/>
                </c:ext>
              </c:extLst>
            </c:dLbl>
            <c:dLbl>
              <c:idx val="1"/>
              <c:tx>
                <c:rich>
                  <a:bodyPr/>
                  <a:lstStyle/>
                  <a:p>
                    <a:fld id="{03486F78-5F63-451D-BE49-47818C12382B}"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92B7-4A50-8C5E-7771008A3F96}"/>
                </c:ext>
              </c:extLst>
            </c:dLbl>
            <c:dLbl>
              <c:idx val="2"/>
              <c:tx>
                <c:rich>
                  <a:bodyPr/>
                  <a:lstStyle/>
                  <a:p>
                    <a:fld id="{F335BF0D-99F5-4725-A990-25FABE406D6C}"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92B7-4A50-8C5E-7771008A3F96}"/>
                </c:ext>
              </c:extLst>
            </c:dLbl>
            <c:dLbl>
              <c:idx val="3"/>
              <c:tx>
                <c:rich>
                  <a:bodyPr/>
                  <a:lstStyle/>
                  <a:p>
                    <a:fld id="{F94EDE26-827F-4EE4-8290-052DD658C89F}" type="CELLRANGE">
                      <a:rPr lang="ja-JP" altLang="en-US"/>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92B7-4A50-8C5E-7771008A3F9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ja-JP"/>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a:solidFill>
                        <a:schemeClr val="tx1">
                          <a:lumMod val="35000"/>
                          <a:lumOff val="65000"/>
                        </a:schemeClr>
                      </a:solidFill>
                    </a:ln>
                    <a:effectLst/>
                  </c:spPr>
                </c15:leaderLines>
              </c:ext>
            </c:extLst>
          </c:dLbls>
          <c:cat>
            <c:strRef>
              <c:f>'グラフ(在院期間) '!$L$4:$L$7</c:f>
              <c:strCache>
                <c:ptCount val="4"/>
                <c:pt idx="0">
                  <c:v>1年未満</c:v>
                </c:pt>
                <c:pt idx="1">
                  <c:v>1年以上5年未満</c:v>
                </c:pt>
                <c:pt idx="2">
                  <c:v>5年以上10年未満</c:v>
                </c:pt>
                <c:pt idx="3">
                  <c:v>10年以上</c:v>
                </c:pt>
              </c:strCache>
            </c:strRef>
          </c:cat>
          <c:val>
            <c:numRef>
              <c:f>'グラフ(在院期間) '!$N$4:$N$7</c:f>
              <c:numCache>
                <c:formatCode>#,##0"人"</c:formatCode>
                <c:ptCount val="4"/>
                <c:pt idx="0">
                  <c:v>3545</c:v>
                </c:pt>
                <c:pt idx="1">
                  <c:v>3128</c:v>
                </c:pt>
                <c:pt idx="2">
                  <c:v>1095</c:v>
                </c:pt>
                <c:pt idx="3">
                  <c:v>1289</c:v>
                </c:pt>
              </c:numCache>
            </c:numRef>
          </c:val>
          <c:extLst>
            <c:ext xmlns:c15="http://schemas.microsoft.com/office/drawing/2012/chart" uri="{02D57815-91ED-43cb-92C2-25804820EDAC}">
              <c15:datalabelsRange>
                <c15:f>'グラフ(在院期間) '!$Q$4:$Q$7</c15:f>
                <c15:dlblRangeCache>
                  <c:ptCount val="4"/>
                  <c:pt idx="0">
                    <c:v>56.9%</c:v>
                  </c:pt>
                  <c:pt idx="1">
                    <c:v>67.5%</c:v>
                  </c:pt>
                  <c:pt idx="2">
                    <c:v>57.4%</c:v>
                  </c:pt>
                  <c:pt idx="3">
                    <c:v>58.0%</c:v>
                  </c:pt>
                </c15:dlblRangeCache>
              </c15:datalabelsRange>
            </c:ext>
            <c:ext xmlns:c16="http://schemas.microsoft.com/office/drawing/2014/chart" uri="{C3380CC4-5D6E-409C-BE32-E72D297353CC}">
              <c16:uniqueId val="{00000001-92B7-4A50-8C5E-7771008A3F96}"/>
            </c:ext>
          </c:extLst>
        </c:ser>
        <c:dLbls>
          <c:showLegendKey val="0"/>
          <c:showVal val="0"/>
          <c:showCatName val="0"/>
          <c:showSerName val="0"/>
          <c:showPercent val="0"/>
          <c:showBubbleSize val="0"/>
        </c:dLbls>
        <c:gapWidth val="150"/>
        <c:overlap val="100"/>
        <c:axId val="116807760"/>
        <c:axId val="116801936"/>
      </c:barChart>
      <c:catAx>
        <c:axId val="1168077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116801936"/>
        <c:crosses val="autoZero"/>
        <c:auto val="1"/>
        <c:lblAlgn val="ctr"/>
        <c:lblOffset val="100"/>
        <c:noMultiLvlLbl val="0"/>
      </c:catAx>
      <c:valAx>
        <c:axId val="116801936"/>
        <c:scaling>
          <c:orientation val="minMax"/>
        </c:scaling>
        <c:delete val="0"/>
        <c:axPos val="b"/>
        <c:majorGridlines>
          <c:spPr>
            <a:ln w="9525" cap="flat" cmpd="sng" algn="ctr">
              <a:solidFill>
                <a:schemeClr val="tx1">
                  <a:lumMod val="15000"/>
                  <a:lumOff val="85000"/>
                </a:schemeClr>
              </a:solidFill>
              <a:round/>
            </a:ln>
            <a:effectLst/>
          </c:spPr>
        </c:majorGridlines>
        <c:numFmt formatCode="#,##0&quot;人&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116807760"/>
        <c:crosses val="autoZero"/>
        <c:crossBetween val="between"/>
      </c:valAx>
      <c:dTable>
        <c:showHorzBorder val="1"/>
        <c:showVertBorder val="1"/>
        <c:showOutline val="1"/>
        <c:showKeys val="0"/>
        <c:spPr>
          <a:noFill/>
          <a:ln w="9525">
            <a:solidFill>
              <a:schemeClr val="tx1">
                <a:lumMod val="15000"/>
                <a:lumOff val="85000"/>
              </a:schemeClr>
            </a:solidFill>
          </a:ln>
          <a:effectLst/>
        </c:spPr>
        <c:txPr>
          <a:bodyPr rot="0" spcFirstLastPara="1" vertOverflow="ellipsis" vert="horz" wrap="square" anchor="ctr" anchorCtr="1"/>
          <a:lstStyle/>
          <a:p>
            <a:pPr rtl="0">
              <a:defRPr sz="800" b="0" i="0" u="none" strike="noStrike" kern="1200" baseline="0">
                <a:solidFill>
                  <a:schemeClr val="tx1">
                    <a:lumMod val="50000"/>
                    <a:lumOff val="50000"/>
                  </a:schemeClr>
                </a:solidFill>
                <a:latin typeface="+mn-lt"/>
                <a:ea typeface="+mn-ea"/>
                <a:cs typeface="+mn-cs"/>
              </a:defRPr>
            </a:pPr>
            <a:endParaRPr lang="ja-JP"/>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oddHeader>&amp;C&amp;"游ゴシック,太字"&amp;14R4年度　大阪府の在院患者の状況&amp;R&amp;"游ゴシック,標準"&amp;10R4.6.30時点</c:oddHeader>
    </c:headerFooter>
    <c:pageMargins b="0.75" l="0.7" r="0.7" t="0.75" header="0.3" footer="0.3"/>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mn-lt"/>
                <a:ea typeface="+mn-ea"/>
                <a:cs typeface="+mn-cs"/>
              </a:defRPr>
            </a:pPr>
            <a:r>
              <a:rPr lang="ja-JP" altLang="en-US" sz="1200" b="1"/>
              <a:t>在院期間＿寛解・院内寛解群</a:t>
            </a:r>
            <a:endParaRPr lang="ja-JP" sz="1200" b="1"/>
          </a:p>
        </c:rich>
      </c:tx>
      <c:overlay val="0"/>
      <c:spPr>
        <a:noFill/>
        <a:ln>
          <a:noFill/>
        </a:ln>
        <a:effectLst/>
      </c:spPr>
      <c:txPr>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mn-lt"/>
              <a:ea typeface="+mn-ea"/>
              <a:cs typeface="+mn-cs"/>
            </a:defRPr>
          </a:pPr>
          <a:endParaRPr lang="ja-JP"/>
        </a:p>
      </c:txPr>
    </c:title>
    <c:autoTitleDeleted val="0"/>
    <c:plotArea>
      <c:layout/>
      <c:barChart>
        <c:barDir val="bar"/>
        <c:grouping val="stacked"/>
        <c:varyColors val="0"/>
        <c:ser>
          <c:idx val="0"/>
          <c:order val="0"/>
          <c:tx>
            <c:strRef>
              <c:f>'グラフ(在院期間) '!$M$8</c:f>
              <c:strCache>
                <c:ptCount val="1"/>
                <c:pt idx="0">
                  <c:v>65歳未満</c:v>
                </c:pt>
              </c:strCache>
            </c:strRef>
          </c:tx>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invertIfNegative val="0"/>
          <c:dLbls>
            <c:dLbl>
              <c:idx val="0"/>
              <c:tx>
                <c:rich>
                  <a:bodyPr/>
                  <a:lstStyle/>
                  <a:p>
                    <a:fld id="{D35DDF2D-1DE3-4F74-823B-E6B1CE15C1A4}" type="CELLRANGE">
                      <a:rPr lang="en-US" altLang="ja-JP"/>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ED21-42B9-A33C-BF0B0FC6CD8F}"/>
                </c:ext>
              </c:extLst>
            </c:dLbl>
            <c:dLbl>
              <c:idx val="1"/>
              <c:tx>
                <c:rich>
                  <a:bodyPr/>
                  <a:lstStyle/>
                  <a:p>
                    <a:fld id="{F5199F35-1E28-4788-A43A-B411C563B3C4}" type="CELLRANGE">
                      <a:rPr lang="en-US" altLang="ja-JP"/>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ED21-42B9-A33C-BF0B0FC6CD8F}"/>
                </c:ext>
              </c:extLst>
            </c:dLbl>
            <c:dLbl>
              <c:idx val="2"/>
              <c:layout>
                <c:manualLayout>
                  <c:x val="-6.632380182828003E-3"/>
                  <c:y val="-3.6002834868887314E-2"/>
                </c:manualLayout>
              </c:layout>
              <c:tx>
                <c:rich>
                  <a:bodyPr/>
                  <a:lstStyle/>
                  <a:p>
                    <a:fld id="{F203E13D-BFD5-4438-83EA-4FFD0A42FD6C}" type="CELLRANGE">
                      <a:rPr lang="en-US" altLang="ja-JP"/>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ED21-42B9-A33C-BF0B0FC6CD8F}"/>
                </c:ext>
              </c:extLst>
            </c:dLbl>
            <c:dLbl>
              <c:idx val="3"/>
              <c:layout>
                <c:manualLayout>
                  <c:x val="3.3050219888893333E-2"/>
                  <c:y val="-7.6506024096385544E-2"/>
                </c:manualLayout>
              </c:layout>
              <c:tx>
                <c:rich>
                  <a:bodyPr/>
                  <a:lstStyle/>
                  <a:p>
                    <a:fld id="{580F8F69-9D85-4B9D-B6EC-FB3405B9B97D}" type="CELLRANGE">
                      <a:rPr lang="en-US" altLang="ja-JP"/>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ED21-42B9-A33C-BF0B0FC6CD8F}"/>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ja-JP"/>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a:solidFill>
                        <a:schemeClr val="tx1">
                          <a:lumMod val="35000"/>
                          <a:lumOff val="65000"/>
                        </a:schemeClr>
                      </a:solidFill>
                    </a:ln>
                    <a:effectLst/>
                  </c:spPr>
                </c15:leaderLines>
              </c:ext>
            </c:extLst>
          </c:dLbls>
          <c:cat>
            <c:strRef>
              <c:f>'グラフ(在院期間) '!$L$9:$L$12</c:f>
              <c:strCache>
                <c:ptCount val="4"/>
                <c:pt idx="0">
                  <c:v>1年未満</c:v>
                </c:pt>
                <c:pt idx="1">
                  <c:v>1年以上5年未満</c:v>
                </c:pt>
                <c:pt idx="2">
                  <c:v>5年以上10年未満</c:v>
                </c:pt>
                <c:pt idx="3">
                  <c:v>10年以上</c:v>
                </c:pt>
              </c:strCache>
            </c:strRef>
          </c:cat>
          <c:val>
            <c:numRef>
              <c:f>'グラフ(在院期間) '!$M$9:$M$12</c:f>
              <c:numCache>
                <c:formatCode>#,##0"人"</c:formatCode>
                <c:ptCount val="4"/>
                <c:pt idx="0">
                  <c:v>622</c:v>
                </c:pt>
                <c:pt idx="1">
                  <c:v>121</c:v>
                </c:pt>
                <c:pt idx="2">
                  <c:v>44</c:v>
                </c:pt>
                <c:pt idx="3">
                  <c:v>36</c:v>
                </c:pt>
              </c:numCache>
            </c:numRef>
          </c:val>
          <c:extLst>
            <c:ext xmlns:c15="http://schemas.microsoft.com/office/drawing/2012/chart" uri="{02D57815-91ED-43cb-92C2-25804820EDAC}">
              <c15:datalabelsRange>
                <c15:f>'グラフ(在院期間) '!$P$9:$P$12</c15:f>
                <c15:dlblRangeCache>
                  <c:ptCount val="4"/>
                  <c:pt idx="0">
                    <c:v>54.8%</c:v>
                  </c:pt>
                  <c:pt idx="1">
                    <c:v>38.4%</c:v>
                  </c:pt>
                  <c:pt idx="2">
                    <c:v>43.1%</c:v>
                  </c:pt>
                  <c:pt idx="3">
                    <c:v>34.6%</c:v>
                  </c:pt>
                </c15:dlblRangeCache>
              </c15:datalabelsRange>
            </c:ext>
            <c:ext xmlns:c16="http://schemas.microsoft.com/office/drawing/2014/chart" uri="{C3380CC4-5D6E-409C-BE32-E72D297353CC}">
              <c16:uniqueId val="{00000000-ED21-42B9-A33C-BF0B0FC6CD8F}"/>
            </c:ext>
          </c:extLst>
        </c:ser>
        <c:ser>
          <c:idx val="1"/>
          <c:order val="1"/>
          <c:tx>
            <c:strRef>
              <c:f>'グラフ(在院期間) '!$N$8</c:f>
              <c:strCache>
                <c:ptCount val="1"/>
                <c:pt idx="0">
                  <c:v>65歳以上</c:v>
                </c:pt>
              </c:strCache>
            </c:strRef>
          </c:tx>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invertIfNegative val="0"/>
          <c:dLbls>
            <c:dLbl>
              <c:idx val="0"/>
              <c:tx>
                <c:rich>
                  <a:bodyPr/>
                  <a:lstStyle/>
                  <a:p>
                    <a:fld id="{EA48E574-0EF9-418D-BB8F-083A972F5FDA}" type="CELLRANGE">
                      <a:rPr lang="en-US" altLang="ja-JP"/>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ED21-42B9-A33C-BF0B0FC6CD8F}"/>
                </c:ext>
              </c:extLst>
            </c:dLbl>
            <c:dLbl>
              <c:idx val="1"/>
              <c:tx>
                <c:rich>
                  <a:bodyPr rot="0" spcFirstLastPara="1" vertOverflow="overflow" horzOverflow="overflow"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fld id="{E159D194-2119-4914-981D-EEA0A16108E1}" type="CELLRANGE">
                      <a:rPr lang="en-US" altLang="ja-JP"/>
                      <a:pPr>
                        <a:defRPr sz="800"/>
                      </a:pPr>
                      <a:t>[CELLRANGE]</a:t>
                    </a:fld>
                    <a:endParaRPr lang="ja-JP" altLang="en-US"/>
                  </a:p>
                </c:rich>
              </c:tx>
              <c:spPr>
                <a:noFill/>
                <a:ln>
                  <a:noFill/>
                </a:ln>
                <a:effectLst/>
              </c:spPr>
              <c:txPr>
                <a:bodyPr rot="0" spcFirstLastPara="1" vertOverflow="overflow" horzOverflow="overflow"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ED21-42B9-A33C-BF0B0FC6CD8F}"/>
                </c:ext>
              </c:extLst>
            </c:dLbl>
            <c:dLbl>
              <c:idx val="2"/>
              <c:layout>
                <c:manualLayout>
                  <c:x val="0.13567010946949548"/>
                  <c:y val="0"/>
                </c:manualLayout>
              </c:layout>
              <c:tx>
                <c:rich>
                  <a:bodyPr/>
                  <a:lstStyle/>
                  <a:p>
                    <a:fld id="{DE245007-460E-47FA-B64D-936FAAE84682}" type="CELLRANGE">
                      <a:rPr lang="en-US" altLang="ja-JP"/>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ED21-42B9-A33C-BF0B0FC6CD8F}"/>
                </c:ext>
              </c:extLst>
            </c:dLbl>
            <c:dLbl>
              <c:idx val="3"/>
              <c:layout>
                <c:manualLayout>
                  <c:x val="0.10596246584831066"/>
                  <c:y val="-2.7002126151665487E-2"/>
                </c:manualLayout>
              </c:layout>
              <c:tx>
                <c:rich>
                  <a:bodyPr/>
                  <a:lstStyle/>
                  <a:p>
                    <a:fld id="{3FED262B-EC66-4C40-9D70-7E1109AF311A}" type="CELLRANGE">
                      <a:rPr lang="en-US" altLang="ja-JP"/>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ED21-42B9-A33C-BF0B0FC6CD8F}"/>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ja-JP"/>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a:solidFill>
                        <a:schemeClr val="tx1">
                          <a:lumMod val="35000"/>
                          <a:lumOff val="65000"/>
                        </a:schemeClr>
                      </a:solidFill>
                    </a:ln>
                    <a:effectLst/>
                  </c:spPr>
                </c15:leaderLines>
              </c:ext>
            </c:extLst>
          </c:dLbls>
          <c:cat>
            <c:strRef>
              <c:f>'グラフ(在院期間) '!$L$9:$L$12</c:f>
              <c:strCache>
                <c:ptCount val="4"/>
                <c:pt idx="0">
                  <c:v>1年未満</c:v>
                </c:pt>
                <c:pt idx="1">
                  <c:v>1年以上5年未満</c:v>
                </c:pt>
                <c:pt idx="2">
                  <c:v>5年以上10年未満</c:v>
                </c:pt>
                <c:pt idx="3">
                  <c:v>10年以上</c:v>
                </c:pt>
              </c:strCache>
            </c:strRef>
          </c:cat>
          <c:val>
            <c:numRef>
              <c:f>'グラフ(在院期間) '!$N$9:$N$12</c:f>
              <c:numCache>
                <c:formatCode>#,##0"人"</c:formatCode>
                <c:ptCount val="4"/>
                <c:pt idx="0">
                  <c:v>514</c:v>
                </c:pt>
                <c:pt idx="1">
                  <c:v>194</c:v>
                </c:pt>
                <c:pt idx="2">
                  <c:v>58</c:v>
                </c:pt>
                <c:pt idx="3">
                  <c:v>68</c:v>
                </c:pt>
              </c:numCache>
            </c:numRef>
          </c:val>
          <c:extLst>
            <c:ext xmlns:c15="http://schemas.microsoft.com/office/drawing/2012/chart" uri="{02D57815-91ED-43cb-92C2-25804820EDAC}">
              <c15:datalabelsRange>
                <c15:f>'グラフ(在院期間) '!$Q$9:$Q$12</c15:f>
                <c15:dlblRangeCache>
                  <c:ptCount val="4"/>
                  <c:pt idx="0">
                    <c:v>45.2%</c:v>
                  </c:pt>
                  <c:pt idx="1">
                    <c:v>61.6%</c:v>
                  </c:pt>
                  <c:pt idx="2">
                    <c:v>56.9%</c:v>
                  </c:pt>
                  <c:pt idx="3">
                    <c:v>65.4%</c:v>
                  </c:pt>
                </c15:dlblRangeCache>
              </c15:datalabelsRange>
            </c:ext>
            <c:ext xmlns:c16="http://schemas.microsoft.com/office/drawing/2014/chart" uri="{C3380CC4-5D6E-409C-BE32-E72D297353CC}">
              <c16:uniqueId val="{00000001-ED21-42B9-A33C-BF0B0FC6CD8F}"/>
            </c:ext>
          </c:extLst>
        </c:ser>
        <c:dLbls>
          <c:showLegendKey val="0"/>
          <c:showVal val="0"/>
          <c:showCatName val="0"/>
          <c:showSerName val="0"/>
          <c:showPercent val="0"/>
          <c:showBubbleSize val="0"/>
        </c:dLbls>
        <c:gapWidth val="150"/>
        <c:overlap val="100"/>
        <c:axId val="116807760"/>
        <c:axId val="116801936"/>
      </c:barChart>
      <c:catAx>
        <c:axId val="1168077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116801936"/>
        <c:crosses val="autoZero"/>
        <c:auto val="1"/>
        <c:lblAlgn val="ctr"/>
        <c:lblOffset val="100"/>
        <c:noMultiLvlLbl val="0"/>
      </c:catAx>
      <c:valAx>
        <c:axId val="116801936"/>
        <c:scaling>
          <c:orientation val="minMax"/>
        </c:scaling>
        <c:delete val="0"/>
        <c:axPos val="b"/>
        <c:majorGridlines>
          <c:spPr>
            <a:ln w="9525" cap="flat" cmpd="sng" algn="ctr">
              <a:solidFill>
                <a:schemeClr val="tx1">
                  <a:lumMod val="15000"/>
                  <a:lumOff val="85000"/>
                </a:schemeClr>
              </a:solidFill>
              <a:round/>
            </a:ln>
            <a:effectLst/>
          </c:spPr>
        </c:majorGridlines>
        <c:numFmt formatCode="#,##0&quot;人&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116807760"/>
        <c:crosses val="autoZero"/>
        <c:crossBetween val="between"/>
      </c:valAx>
      <c:dTable>
        <c:showHorzBorder val="1"/>
        <c:showVertBorder val="1"/>
        <c:showOutline val="1"/>
        <c:showKeys val="0"/>
        <c:spPr>
          <a:noFill/>
          <a:ln w="9525">
            <a:solidFill>
              <a:schemeClr val="tx1">
                <a:lumMod val="15000"/>
                <a:lumOff val="85000"/>
              </a:schemeClr>
            </a:solidFill>
          </a:ln>
          <a:effectLst/>
        </c:spPr>
        <c:txPr>
          <a:bodyPr rot="0" spcFirstLastPara="1" vertOverflow="ellipsis" vert="horz" wrap="square" anchor="ctr" anchorCtr="1"/>
          <a:lstStyle/>
          <a:p>
            <a:pPr rtl="0">
              <a:defRPr sz="800" b="0" i="0" u="none" strike="noStrike" kern="1200" baseline="0">
                <a:solidFill>
                  <a:schemeClr val="tx1">
                    <a:lumMod val="50000"/>
                    <a:lumOff val="50000"/>
                  </a:schemeClr>
                </a:solidFill>
                <a:latin typeface="+mn-lt"/>
                <a:ea typeface="+mn-ea"/>
                <a:cs typeface="+mn-cs"/>
              </a:defRPr>
            </a:pPr>
            <a:endParaRPr lang="ja-JP"/>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mn-lt"/>
                <a:ea typeface="+mn-ea"/>
                <a:cs typeface="+mn-cs"/>
              </a:defRPr>
            </a:pPr>
            <a:r>
              <a:rPr lang="ja-JP" altLang="en-US" sz="1200" b="1"/>
              <a:t>在院期間＿患者全体</a:t>
            </a:r>
            <a:endParaRPr lang="ja-JP" sz="1200" b="1"/>
          </a:p>
        </c:rich>
      </c:tx>
      <c:overlay val="0"/>
      <c:spPr>
        <a:noFill/>
        <a:ln>
          <a:noFill/>
        </a:ln>
        <a:effectLst/>
      </c:spPr>
      <c:txPr>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mn-lt"/>
              <a:ea typeface="+mn-ea"/>
              <a:cs typeface="+mn-cs"/>
            </a:defRPr>
          </a:pPr>
          <a:endParaRPr lang="ja-JP"/>
        </a:p>
      </c:txPr>
    </c:title>
    <c:autoTitleDeleted val="0"/>
    <c:plotArea>
      <c:layout/>
      <c:barChart>
        <c:barDir val="bar"/>
        <c:grouping val="stacked"/>
        <c:varyColors val="0"/>
        <c:ser>
          <c:idx val="0"/>
          <c:order val="0"/>
          <c:tx>
            <c:strRef>
              <c:f>'グラフ(在院期間)  (2)'!$M$19</c:f>
              <c:strCache>
                <c:ptCount val="1"/>
                <c:pt idx="0">
                  <c:v>65歳未満</c:v>
                </c:pt>
              </c:strCache>
            </c:strRef>
          </c:tx>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invertIfNegative val="0"/>
          <c:dLbls>
            <c:dLbl>
              <c:idx val="0"/>
              <c:tx>
                <c:rich>
                  <a:bodyPr/>
                  <a:lstStyle/>
                  <a:p>
                    <a:fld id="{C18D65B9-6B99-4D40-A0DD-0950849F24D3}" type="CELLRANGE">
                      <a:rPr lang="en-US" altLang="ja-JP"/>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1112-47EA-936E-DC321AD4966D}"/>
                </c:ext>
              </c:extLst>
            </c:dLbl>
            <c:dLbl>
              <c:idx val="1"/>
              <c:tx>
                <c:rich>
                  <a:bodyPr/>
                  <a:lstStyle/>
                  <a:p>
                    <a:fld id="{A8545AC4-FAF9-4D23-99FE-4C6B86D3C10A}"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1112-47EA-936E-DC321AD4966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ja-JP"/>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a:solidFill>
                        <a:schemeClr val="tx1">
                          <a:lumMod val="35000"/>
                          <a:lumOff val="65000"/>
                        </a:schemeClr>
                      </a:solidFill>
                    </a:ln>
                    <a:effectLst/>
                  </c:spPr>
                </c15:leaderLines>
              </c:ext>
            </c:extLst>
          </c:dLbls>
          <c:cat>
            <c:strRef>
              <c:f>'グラフ(在院期間)  (2)'!$L$20:$L$21</c:f>
              <c:strCache>
                <c:ptCount val="2"/>
                <c:pt idx="0">
                  <c:v>1年未満</c:v>
                </c:pt>
                <c:pt idx="1">
                  <c:v>1年以上</c:v>
                </c:pt>
              </c:strCache>
            </c:strRef>
          </c:cat>
          <c:val>
            <c:numRef>
              <c:f>'グラフ(在院期間)  (2)'!$M$20:$M$21</c:f>
              <c:numCache>
                <c:formatCode>#,##0"人"</c:formatCode>
                <c:ptCount val="2"/>
                <c:pt idx="0">
                  <c:v>2683</c:v>
                </c:pt>
                <c:pt idx="1">
                  <c:v>3252</c:v>
                </c:pt>
              </c:numCache>
            </c:numRef>
          </c:val>
          <c:extLst>
            <c:ext xmlns:c15="http://schemas.microsoft.com/office/drawing/2012/chart" uri="{02D57815-91ED-43cb-92C2-25804820EDAC}">
              <c15:datalabelsRange>
                <c15:f>'グラフ(在院期間)  (2)'!$P$20:$P$21</c15:f>
                <c15:dlblRangeCache>
                  <c:ptCount val="2"/>
                  <c:pt idx="0">
                    <c:v>43.1%</c:v>
                  </c:pt>
                  <c:pt idx="1">
                    <c:v>37.1%</c:v>
                  </c:pt>
                </c15:dlblRangeCache>
              </c15:datalabelsRange>
            </c:ext>
            <c:ext xmlns:c16="http://schemas.microsoft.com/office/drawing/2014/chart" uri="{C3380CC4-5D6E-409C-BE32-E72D297353CC}">
              <c16:uniqueId val="{00000002-1112-47EA-936E-DC321AD4966D}"/>
            </c:ext>
          </c:extLst>
        </c:ser>
        <c:ser>
          <c:idx val="1"/>
          <c:order val="1"/>
          <c:tx>
            <c:strRef>
              <c:f>'グラフ(在院期間)  (2)'!$N$19</c:f>
              <c:strCache>
                <c:ptCount val="1"/>
                <c:pt idx="0">
                  <c:v>65歳以上</c:v>
                </c:pt>
              </c:strCache>
            </c:strRef>
          </c:tx>
          <c:spPr>
            <a:gradFill rotWithShape="1">
              <a:gsLst>
                <a:gs pos="0">
                  <a:schemeClr val="accent4">
                    <a:tint val="50000"/>
                    <a:satMod val="300000"/>
                  </a:schemeClr>
                </a:gs>
                <a:gs pos="35000">
                  <a:schemeClr val="accent4">
                    <a:tint val="37000"/>
                    <a:satMod val="300000"/>
                  </a:schemeClr>
                </a:gs>
                <a:gs pos="100000">
                  <a:schemeClr val="accent4">
                    <a:tint val="15000"/>
                    <a:satMod val="350000"/>
                  </a:schemeClr>
                </a:gs>
              </a:gsLst>
              <a:lin ang="16200000" scaled="1"/>
            </a:gradFill>
            <a:ln w="9525" cap="flat" cmpd="sng" algn="ctr">
              <a:solidFill>
                <a:schemeClr val="accent4">
                  <a:shade val="95000"/>
                </a:schemeClr>
              </a:solidFill>
              <a:round/>
            </a:ln>
            <a:effectLst>
              <a:outerShdw blurRad="40000" dist="20000" dir="5400000" rotWithShape="0">
                <a:srgbClr val="000000">
                  <a:alpha val="38000"/>
                </a:srgbClr>
              </a:outerShdw>
            </a:effectLst>
          </c:spPr>
          <c:invertIfNegative val="0"/>
          <c:dLbls>
            <c:dLbl>
              <c:idx val="0"/>
              <c:tx>
                <c:rich>
                  <a:bodyPr/>
                  <a:lstStyle/>
                  <a:p>
                    <a:fld id="{9BB71C04-8294-4AB3-8276-3310B51F7C18}" type="CELLRANGE">
                      <a:rPr lang="en-US" altLang="ja-JP"/>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1112-47EA-936E-DC321AD4966D}"/>
                </c:ext>
              </c:extLst>
            </c:dLbl>
            <c:dLbl>
              <c:idx val="1"/>
              <c:tx>
                <c:rich>
                  <a:bodyPr/>
                  <a:lstStyle/>
                  <a:p>
                    <a:fld id="{7D73AB4D-F9DF-48F1-809A-1A9460FA7C15}"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1112-47EA-936E-DC321AD4966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ja-JP"/>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a:solidFill>
                        <a:schemeClr val="tx1">
                          <a:lumMod val="35000"/>
                          <a:lumOff val="65000"/>
                        </a:schemeClr>
                      </a:solidFill>
                    </a:ln>
                    <a:effectLst/>
                  </c:spPr>
                </c15:leaderLines>
              </c:ext>
            </c:extLst>
          </c:dLbls>
          <c:cat>
            <c:strRef>
              <c:f>'グラフ(在院期間)  (2)'!$L$20:$L$21</c:f>
              <c:strCache>
                <c:ptCount val="2"/>
                <c:pt idx="0">
                  <c:v>1年未満</c:v>
                </c:pt>
                <c:pt idx="1">
                  <c:v>1年以上</c:v>
                </c:pt>
              </c:strCache>
            </c:strRef>
          </c:cat>
          <c:val>
            <c:numRef>
              <c:f>'グラフ(在院期間)  (2)'!$N$20:$N$21</c:f>
              <c:numCache>
                <c:formatCode>#,##0"人"</c:formatCode>
                <c:ptCount val="2"/>
                <c:pt idx="0">
                  <c:v>3545</c:v>
                </c:pt>
                <c:pt idx="1">
                  <c:v>5512</c:v>
                </c:pt>
              </c:numCache>
            </c:numRef>
          </c:val>
          <c:extLst>
            <c:ext xmlns:c15="http://schemas.microsoft.com/office/drawing/2012/chart" uri="{02D57815-91ED-43cb-92C2-25804820EDAC}">
              <c15:datalabelsRange>
                <c15:f>'グラフ(在院期間)  (2)'!$Q$20:$Q$21</c15:f>
                <c15:dlblRangeCache>
                  <c:ptCount val="2"/>
                  <c:pt idx="0">
                    <c:v>56.9%</c:v>
                  </c:pt>
                  <c:pt idx="1">
                    <c:v>62.9%</c:v>
                  </c:pt>
                </c15:dlblRangeCache>
              </c15:datalabelsRange>
            </c:ext>
            <c:ext xmlns:c16="http://schemas.microsoft.com/office/drawing/2014/chart" uri="{C3380CC4-5D6E-409C-BE32-E72D297353CC}">
              <c16:uniqueId val="{00000005-1112-47EA-936E-DC321AD4966D}"/>
            </c:ext>
          </c:extLst>
        </c:ser>
        <c:dLbls>
          <c:dLblPos val="ctr"/>
          <c:showLegendKey val="0"/>
          <c:showVal val="1"/>
          <c:showCatName val="0"/>
          <c:showSerName val="0"/>
          <c:showPercent val="0"/>
          <c:showBubbleSize val="0"/>
        </c:dLbls>
        <c:gapWidth val="150"/>
        <c:overlap val="100"/>
        <c:axId val="116807760"/>
        <c:axId val="116801936"/>
      </c:barChart>
      <c:catAx>
        <c:axId val="1168077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116801936"/>
        <c:crosses val="autoZero"/>
        <c:auto val="1"/>
        <c:lblAlgn val="ctr"/>
        <c:lblOffset val="100"/>
        <c:noMultiLvlLbl val="0"/>
      </c:catAx>
      <c:valAx>
        <c:axId val="116801936"/>
        <c:scaling>
          <c:orientation val="minMax"/>
        </c:scaling>
        <c:delete val="0"/>
        <c:axPos val="b"/>
        <c:majorGridlines>
          <c:spPr>
            <a:ln w="9525" cap="flat" cmpd="sng" algn="ctr">
              <a:solidFill>
                <a:schemeClr val="tx1">
                  <a:lumMod val="15000"/>
                  <a:lumOff val="85000"/>
                </a:schemeClr>
              </a:solidFill>
              <a:round/>
            </a:ln>
            <a:effectLst/>
          </c:spPr>
        </c:majorGridlines>
        <c:numFmt formatCode="#,##0&quot;人&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116807760"/>
        <c:crosses val="autoZero"/>
        <c:crossBetween val="between"/>
      </c:valAx>
      <c:dTable>
        <c:showHorzBorder val="1"/>
        <c:showVertBorder val="1"/>
        <c:showOutline val="1"/>
        <c:showKeys val="0"/>
        <c:spPr>
          <a:noFill/>
          <a:ln w="9525">
            <a:solidFill>
              <a:schemeClr val="tx1">
                <a:lumMod val="15000"/>
                <a:lumOff val="85000"/>
              </a:schemeClr>
            </a:solidFill>
          </a:ln>
          <a:effectLst/>
        </c:spPr>
        <c:txPr>
          <a:bodyPr rot="0" spcFirstLastPara="1" vertOverflow="ellipsis" vert="horz" wrap="square" anchor="ctr" anchorCtr="1"/>
          <a:lstStyle/>
          <a:p>
            <a:pPr rtl="0">
              <a:defRPr sz="800" b="0" i="0" u="none" strike="noStrike" kern="1200" baseline="0">
                <a:solidFill>
                  <a:schemeClr val="tx1">
                    <a:lumMod val="50000"/>
                    <a:lumOff val="50000"/>
                  </a:schemeClr>
                </a:solidFill>
                <a:latin typeface="+mn-lt"/>
                <a:ea typeface="+mn-ea"/>
                <a:cs typeface="+mn-cs"/>
              </a:defRPr>
            </a:pPr>
            <a:endParaRPr lang="ja-JP"/>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mn-lt"/>
                <a:ea typeface="+mn-ea"/>
                <a:cs typeface="+mn-cs"/>
              </a:defRPr>
            </a:pPr>
            <a:r>
              <a:rPr lang="ja-JP" altLang="en-US" sz="1200" b="1"/>
              <a:t>在院期間＿寛解・院内寛解群</a:t>
            </a:r>
            <a:endParaRPr lang="ja-JP" sz="1200" b="1"/>
          </a:p>
        </c:rich>
      </c:tx>
      <c:overlay val="0"/>
      <c:spPr>
        <a:noFill/>
        <a:ln>
          <a:noFill/>
        </a:ln>
        <a:effectLst/>
      </c:spPr>
      <c:txPr>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mn-lt"/>
              <a:ea typeface="+mn-ea"/>
              <a:cs typeface="+mn-cs"/>
            </a:defRPr>
          </a:pPr>
          <a:endParaRPr lang="ja-JP"/>
        </a:p>
      </c:txPr>
    </c:title>
    <c:autoTitleDeleted val="0"/>
    <c:plotArea>
      <c:layout/>
      <c:barChart>
        <c:barDir val="bar"/>
        <c:grouping val="stacked"/>
        <c:varyColors val="0"/>
        <c:ser>
          <c:idx val="0"/>
          <c:order val="0"/>
          <c:tx>
            <c:strRef>
              <c:f>'グラフ(在院期間)  (2)'!$M$22</c:f>
              <c:strCache>
                <c:ptCount val="1"/>
                <c:pt idx="0">
                  <c:v>65歳未満</c:v>
                </c:pt>
              </c:strCache>
            </c:strRef>
          </c:tx>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9525" cap="flat" cmpd="sng" algn="ctr">
              <a:solidFill>
                <a:schemeClr val="accent6">
                  <a:shade val="95000"/>
                </a:schemeClr>
              </a:solidFill>
              <a:round/>
            </a:ln>
            <a:effectLst>
              <a:outerShdw blurRad="40000" dist="20000" dir="5400000" rotWithShape="0">
                <a:srgbClr val="000000">
                  <a:alpha val="38000"/>
                </a:srgbClr>
              </a:outerShdw>
            </a:effectLst>
          </c:spPr>
          <c:invertIfNegative val="0"/>
          <c:dLbls>
            <c:dLbl>
              <c:idx val="0"/>
              <c:tx>
                <c:rich>
                  <a:bodyPr/>
                  <a:lstStyle/>
                  <a:p>
                    <a:fld id="{88C4461D-18BE-485A-91F8-414071317098}" type="CELLRANGE">
                      <a:rPr lang="en-US" altLang="ja-JP"/>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DF6B-447D-A2E1-BC2C82C6B01C}"/>
                </c:ext>
              </c:extLst>
            </c:dLbl>
            <c:dLbl>
              <c:idx val="1"/>
              <c:tx>
                <c:rich>
                  <a:bodyPr/>
                  <a:lstStyle/>
                  <a:p>
                    <a:fld id="{F596E6D0-5677-4D61-9ACB-DB959A9E9756}" type="CELLRANGE">
                      <a:rPr lang="en-US" altLang="ja-JP"/>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DF6B-447D-A2E1-BC2C82C6B01C}"/>
                </c:ext>
              </c:extLst>
            </c:dLbl>
            <c:dLbl>
              <c:idx val="2"/>
              <c:layout>
                <c:manualLayout>
                  <c:x val="-6.632380182828003E-3"/>
                  <c:y val="-3.6002834868887314E-2"/>
                </c:manualLayout>
              </c:layout>
              <c:tx>
                <c:rich>
                  <a:bodyPr/>
                  <a:lstStyle/>
                  <a:p>
                    <a:fld id="{274410FC-5A5C-4664-A5AC-ABCEEFD0FE49}" type="CELLRANGE">
                      <a:rPr lang="en-US" altLang="ja-JP"/>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DF6B-447D-A2E1-BC2C82C6B01C}"/>
                </c:ext>
              </c:extLst>
            </c:dLbl>
            <c:dLbl>
              <c:idx val="3"/>
              <c:layout>
                <c:manualLayout>
                  <c:x val="3.3050219888893333E-2"/>
                  <c:y val="-7.6506024096385544E-2"/>
                </c:manualLayout>
              </c:layout>
              <c:tx>
                <c:rich>
                  <a:bodyPr/>
                  <a:lstStyle/>
                  <a:p>
                    <a:fld id="{24D671BE-4E31-4AC1-A24E-337F153E5A78}" type="CELLRANGE">
                      <a:rPr lang="en-US" altLang="ja-JP"/>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DF6B-447D-A2E1-BC2C82C6B01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ja-JP"/>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a:solidFill>
                        <a:schemeClr val="tx1">
                          <a:lumMod val="35000"/>
                          <a:lumOff val="65000"/>
                        </a:schemeClr>
                      </a:solidFill>
                    </a:ln>
                    <a:effectLst/>
                  </c:spPr>
                </c15:leaderLines>
              </c:ext>
            </c:extLst>
          </c:dLbls>
          <c:cat>
            <c:strRef>
              <c:f>'グラフ(在院期間)  (2)'!$L$23:$L$24</c:f>
              <c:strCache>
                <c:ptCount val="2"/>
                <c:pt idx="0">
                  <c:v>1年未満</c:v>
                </c:pt>
                <c:pt idx="1">
                  <c:v>1年以上</c:v>
                </c:pt>
              </c:strCache>
            </c:strRef>
          </c:cat>
          <c:val>
            <c:numRef>
              <c:f>'グラフ(在院期間)  (2)'!$M$23:$M$24</c:f>
              <c:numCache>
                <c:formatCode>#,##0"人"</c:formatCode>
                <c:ptCount val="2"/>
                <c:pt idx="0">
                  <c:v>622</c:v>
                </c:pt>
                <c:pt idx="1">
                  <c:v>201</c:v>
                </c:pt>
              </c:numCache>
            </c:numRef>
          </c:val>
          <c:extLst>
            <c:ext xmlns:c15="http://schemas.microsoft.com/office/drawing/2012/chart" uri="{02D57815-91ED-43cb-92C2-25804820EDAC}">
              <c15:datalabelsRange>
                <c15:f>'グラフ(在院期間)  (2)'!$P$23:$P$24</c15:f>
                <c15:dlblRangeCache>
                  <c:ptCount val="2"/>
                  <c:pt idx="0">
                    <c:v>54.8%</c:v>
                  </c:pt>
                  <c:pt idx="1">
                    <c:v>38.6%</c:v>
                  </c:pt>
                </c15:dlblRangeCache>
              </c15:datalabelsRange>
            </c:ext>
            <c:ext xmlns:c16="http://schemas.microsoft.com/office/drawing/2014/chart" uri="{C3380CC4-5D6E-409C-BE32-E72D297353CC}">
              <c16:uniqueId val="{00000004-DF6B-447D-A2E1-BC2C82C6B01C}"/>
            </c:ext>
          </c:extLst>
        </c:ser>
        <c:ser>
          <c:idx val="1"/>
          <c:order val="1"/>
          <c:tx>
            <c:strRef>
              <c:f>'グラフ(在院期間)  (2)'!$N$22</c:f>
              <c:strCache>
                <c:ptCount val="1"/>
                <c:pt idx="0">
                  <c:v>65歳以上</c:v>
                </c:pt>
              </c:strCache>
            </c:strRef>
          </c:tx>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chemeClr>
              </a:solidFill>
              <a:round/>
            </a:ln>
            <a:effectLst>
              <a:outerShdw blurRad="40000" dist="20000" dir="5400000" rotWithShape="0">
                <a:srgbClr val="000000">
                  <a:alpha val="38000"/>
                </a:srgbClr>
              </a:outerShdw>
            </a:effectLst>
          </c:spPr>
          <c:invertIfNegative val="0"/>
          <c:dLbls>
            <c:dLbl>
              <c:idx val="0"/>
              <c:tx>
                <c:rich>
                  <a:bodyPr/>
                  <a:lstStyle/>
                  <a:p>
                    <a:fld id="{902EBA7A-3C55-4A6C-8F5E-54F851166205}" type="CELLRANGE">
                      <a:rPr lang="en-US" altLang="ja-JP"/>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DF6B-447D-A2E1-BC2C82C6B01C}"/>
                </c:ext>
              </c:extLst>
            </c:dLbl>
            <c:dLbl>
              <c:idx val="1"/>
              <c:tx>
                <c:rich>
                  <a:bodyPr rot="0" spcFirstLastPara="1" vertOverflow="overflow" horzOverflow="overflow"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fld id="{DA9D8130-7582-4229-A499-7A9A264A9A5B}" type="CELLRANGE">
                      <a:rPr lang="en-US" altLang="ja-JP"/>
                      <a:pPr>
                        <a:defRPr sz="800"/>
                      </a:pPr>
                      <a:t>[CELLRANGE]</a:t>
                    </a:fld>
                    <a:endParaRPr lang="ja-JP" altLang="en-US"/>
                  </a:p>
                </c:rich>
              </c:tx>
              <c:spPr>
                <a:noFill/>
                <a:ln>
                  <a:noFill/>
                </a:ln>
                <a:effectLst/>
              </c:spPr>
              <c:txPr>
                <a:bodyPr rot="0" spcFirstLastPara="1" vertOverflow="overflow" horzOverflow="overflow"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ja-JP"/>
                </a:p>
              </c:txPr>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DF6B-447D-A2E1-BC2C82C6B01C}"/>
                </c:ext>
              </c:extLst>
            </c:dLbl>
            <c:dLbl>
              <c:idx val="2"/>
              <c:layout>
                <c:manualLayout>
                  <c:x val="0.13567010946949548"/>
                  <c:y val="0"/>
                </c:manualLayout>
              </c:layout>
              <c:tx>
                <c:rich>
                  <a:bodyPr/>
                  <a:lstStyle/>
                  <a:p>
                    <a:fld id="{78776ADA-6B63-4EC8-A823-9CF628006C12}" type="CELLRANGE">
                      <a:rPr lang="en-US" altLang="ja-JP"/>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DF6B-447D-A2E1-BC2C82C6B01C}"/>
                </c:ext>
              </c:extLst>
            </c:dLbl>
            <c:dLbl>
              <c:idx val="3"/>
              <c:layout>
                <c:manualLayout>
                  <c:x val="0.10596246584831066"/>
                  <c:y val="-2.7002126151665487E-2"/>
                </c:manualLayout>
              </c:layout>
              <c:tx>
                <c:rich>
                  <a:bodyPr/>
                  <a:lstStyle/>
                  <a:p>
                    <a:fld id="{10AFB482-CF89-4F63-8E5C-953673290398}" type="CELLRANGE">
                      <a:rPr lang="en-US" altLang="ja-JP"/>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DF6B-447D-A2E1-BC2C82C6B01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ja-JP"/>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a:solidFill>
                        <a:schemeClr val="tx1">
                          <a:lumMod val="35000"/>
                          <a:lumOff val="65000"/>
                        </a:schemeClr>
                      </a:solidFill>
                    </a:ln>
                    <a:effectLst/>
                  </c:spPr>
                </c15:leaderLines>
              </c:ext>
            </c:extLst>
          </c:dLbls>
          <c:cat>
            <c:strRef>
              <c:f>'グラフ(在院期間)  (2)'!$L$23:$L$24</c:f>
              <c:strCache>
                <c:ptCount val="2"/>
                <c:pt idx="0">
                  <c:v>1年未満</c:v>
                </c:pt>
                <c:pt idx="1">
                  <c:v>1年以上</c:v>
                </c:pt>
              </c:strCache>
            </c:strRef>
          </c:cat>
          <c:val>
            <c:numRef>
              <c:f>'グラフ(在院期間)  (2)'!$N$23:$N$24</c:f>
              <c:numCache>
                <c:formatCode>#,##0"人"</c:formatCode>
                <c:ptCount val="2"/>
                <c:pt idx="0">
                  <c:v>514</c:v>
                </c:pt>
                <c:pt idx="1">
                  <c:v>320</c:v>
                </c:pt>
              </c:numCache>
            </c:numRef>
          </c:val>
          <c:extLst>
            <c:ext xmlns:c15="http://schemas.microsoft.com/office/drawing/2012/chart" uri="{02D57815-91ED-43cb-92C2-25804820EDAC}">
              <c15:datalabelsRange>
                <c15:f>'グラフ(在院期間)  (2)'!$Q$23:$Q$24</c15:f>
                <c15:dlblRangeCache>
                  <c:ptCount val="2"/>
                  <c:pt idx="0">
                    <c:v>45.2%</c:v>
                  </c:pt>
                  <c:pt idx="1">
                    <c:v>61.4%</c:v>
                  </c:pt>
                </c15:dlblRangeCache>
              </c15:datalabelsRange>
            </c:ext>
            <c:ext xmlns:c16="http://schemas.microsoft.com/office/drawing/2014/chart" uri="{C3380CC4-5D6E-409C-BE32-E72D297353CC}">
              <c16:uniqueId val="{00000009-DF6B-447D-A2E1-BC2C82C6B01C}"/>
            </c:ext>
          </c:extLst>
        </c:ser>
        <c:dLbls>
          <c:showLegendKey val="0"/>
          <c:showVal val="0"/>
          <c:showCatName val="0"/>
          <c:showSerName val="0"/>
          <c:showPercent val="0"/>
          <c:showBubbleSize val="0"/>
        </c:dLbls>
        <c:gapWidth val="150"/>
        <c:overlap val="100"/>
        <c:axId val="116807760"/>
        <c:axId val="116801936"/>
      </c:barChart>
      <c:catAx>
        <c:axId val="1168077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116801936"/>
        <c:crosses val="autoZero"/>
        <c:auto val="1"/>
        <c:lblAlgn val="ctr"/>
        <c:lblOffset val="100"/>
        <c:noMultiLvlLbl val="0"/>
      </c:catAx>
      <c:valAx>
        <c:axId val="116801936"/>
        <c:scaling>
          <c:orientation val="minMax"/>
        </c:scaling>
        <c:delete val="0"/>
        <c:axPos val="b"/>
        <c:majorGridlines>
          <c:spPr>
            <a:ln w="9525" cap="flat" cmpd="sng" algn="ctr">
              <a:solidFill>
                <a:schemeClr val="tx1">
                  <a:lumMod val="15000"/>
                  <a:lumOff val="85000"/>
                </a:schemeClr>
              </a:solidFill>
              <a:round/>
            </a:ln>
            <a:effectLst/>
          </c:spPr>
        </c:majorGridlines>
        <c:numFmt formatCode="#,##0&quot;人&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116807760"/>
        <c:crosses val="autoZero"/>
        <c:crossBetween val="between"/>
      </c:valAx>
      <c:dTable>
        <c:showHorzBorder val="1"/>
        <c:showVertBorder val="1"/>
        <c:showOutline val="1"/>
        <c:showKeys val="0"/>
        <c:spPr>
          <a:noFill/>
          <a:ln w="9525">
            <a:solidFill>
              <a:schemeClr val="tx1">
                <a:lumMod val="15000"/>
                <a:lumOff val="85000"/>
              </a:schemeClr>
            </a:solidFill>
          </a:ln>
          <a:effectLst/>
        </c:spPr>
        <c:txPr>
          <a:bodyPr rot="0" spcFirstLastPara="1" vertOverflow="ellipsis" vert="horz" wrap="square" anchor="ctr" anchorCtr="1"/>
          <a:lstStyle/>
          <a:p>
            <a:pPr rtl="0">
              <a:defRPr sz="800" b="0" i="0" u="none" strike="noStrike" kern="1200" baseline="0">
                <a:solidFill>
                  <a:schemeClr val="tx1">
                    <a:lumMod val="50000"/>
                    <a:lumOff val="50000"/>
                  </a:schemeClr>
                </a:solidFill>
                <a:latin typeface="+mn-lt"/>
                <a:ea typeface="+mn-ea"/>
                <a:cs typeface="+mn-cs"/>
              </a:defRPr>
            </a:pPr>
            <a:endParaRPr lang="ja-JP"/>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r>
              <a:rPr lang="ja-JP" b="1"/>
              <a:t>退院阻害要因の有無</a:t>
            </a:r>
          </a:p>
        </c:rich>
      </c:tx>
      <c:layout>
        <c:manualLayout>
          <c:xMode val="edge"/>
          <c:yMode val="edge"/>
          <c:x val="0.34159014620726857"/>
          <c:y val="2.2882777777777776E-2"/>
        </c:manualLayout>
      </c:layout>
      <c:overlay val="0"/>
      <c:spPr>
        <a:noFill/>
        <a:ln>
          <a:noFill/>
        </a:ln>
        <a:effectLst/>
      </c:spPr>
      <c:txPr>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endParaRPr lang="ja-JP"/>
        </a:p>
      </c:txPr>
    </c:title>
    <c:autoTitleDeleted val="0"/>
    <c:plotArea>
      <c:layout>
        <c:manualLayout>
          <c:layoutTarget val="inner"/>
          <c:xMode val="edge"/>
          <c:yMode val="edge"/>
          <c:x val="6.9531712199843887E-2"/>
          <c:y val="0.19912972222222222"/>
          <c:w val="0.87222222222222212"/>
          <c:h val="0.74600129172335139"/>
        </c:manualLayout>
      </c:layout>
      <c:ofPieChart>
        <c:ofPieType val="pie"/>
        <c:varyColors val="1"/>
        <c:ser>
          <c:idx val="0"/>
          <c:order val="0"/>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1C89-44F0-84D0-778BA3C76980}"/>
              </c:ext>
            </c:extLst>
          </c:dPt>
          <c:dPt>
            <c:idx val="1"/>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1C89-44F0-84D0-778BA3C76980}"/>
              </c:ext>
            </c:extLst>
          </c:dPt>
          <c:dPt>
            <c:idx val="2"/>
            <c:bubble3D val="0"/>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5-1C89-44F0-84D0-778BA3C76980}"/>
              </c:ext>
            </c:extLst>
          </c:dPt>
          <c:dPt>
            <c:idx val="3"/>
            <c:bubble3D val="0"/>
            <c:spPr>
              <a:gradFill rotWithShape="1">
                <a:gsLst>
                  <a:gs pos="0">
                    <a:schemeClr val="accent4">
                      <a:tint val="50000"/>
                      <a:satMod val="300000"/>
                    </a:schemeClr>
                  </a:gs>
                  <a:gs pos="35000">
                    <a:schemeClr val="accent4">
                      <a:tint val="37000"/>
                      <a:satMod val="300000"/>
                    </a:schemeClr>
                  </a:gs>
                  <a:gs pos="100000">
                    <a:schemeClr val="accent4">
                      <a:tint val="15000"/>
                      <a:satMod val="350000"/>
                    </a:schemeClr>
                  </a:gs>
                </a:gsLst>
                <a:lin ang="16200000" scaled="1"/>
              </a:gradFill>
              <a:ln w="9525" cap="flat" cmpd="sng" algn="ctr">
                <a:solidFill>
                  <a:schemeClr val="accent4">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7-1C89-44F0-84D0-778BA3C76980}"/>
              </c:ext>
            </c:extLst>
          </c:dPt>
          <c:dPt>
            <c:idx val="4"/>
            <c:bubble3D val="0"/>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9-1C89-44F0-84D0-778BA3C76980}"/>
              </c:ext>
            </c:extLst>
          </c:dPt>
          <c:dLbls>
            <c:dLbl>
              <c:idx val="0"/>
              <c:layout>
                <c:manualLayout>
                  <c:x val="6.2782485875706215E-2"/>
                  <c:y val="-0.16807561728395062"/>
                </c:manualLayout>
              </c:layout>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0.17339924670433146"/>
                      <c:h val="0.47037037037037038"/>
                    </c:manualLayout>
                  </c15:layout>
                </c:ext>
                <c:ext xmlns:c16="http://schemas.microsoft.com/office/drawing/2014/chart" uri="{C3380CC4-5D6E-409C-BE32-E72D297353CC}">
                  <c16:uniqueId val="{00000001-1C89-44F0-84D0-778BA3C76980}"/>
                </c:ext>
              </c:extLst>
            </c:dLbl>
            <c:dLbl>
              <c:idx val="2"/>
              <c:layout>
                <c:manualLayout>
                  <c:x val="0.11914289077212806"/>
                  <c:y val="-0.21606543209876544"/>
                </c:manualLayout>
              </c:layout>
              <c:tx>
                <c:rich>
                  <a:bodyPr/>
                  <a:lstStyle/>
                  <a:p>
                    <a:fld id="{ECC973DD-5535-4DAC-8345-EEAE77E02AEA}" type="CATEGORYNAME">
                      <a:rPr lang="ja-JP" altLang="en-US"/>
                      <a:pPr/>
                      <a:t>[分類名]</a:t>
                    </a:fld>
                    <a:r>
                      <a:rPr lang="ja-JP" altLang="en-US" baseline="0"/>
                      <a:t>
</a:t>
                    </a:r>
                    <a:fld id="{45955E22-DE0D-4B1C-94CB-C280599986F5}" type="VALUE">
                      <a:rPr lang="ja-JP" altLang="en-US" baseline="0"/>
                      <a:pPr/>
                      <a:t>[値]</a:t>
                    </a:fld>
                    <a:r>
                      <a:rPr lang="ja-JP" altLang="en-US" baseline="0"/>
                      <a:t>
</a:t>
                    </a:r>
                    <a:r>
                      <a:rPr lang="en-US" altLang="ja-JP" baseline="0"/>
                      <a:t>88.1%</a:t>
                    </a:r>
                  </a:p>
                </c:rich>
              </c:tx>
              <c:dLblPos val="bestFit"/>
              <c:showLegendKey val="0"/>
              <c:showVal val="1"/>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1C89-44F0-84D0-778BA3C76980}"/>
                </c:ext>
              </c:extLst>
            </c:dLbl>
            <c:dLbl>
              <c:idx val="3"/>
              <c:tx>
                <c:rich>
                  <a:bodyPr/>
                  <a:lstStyle/>
                  <a:p>
                    <a:fld id="{35EC9FE9-0F83-49C3-8B57-30E81921C554}" type="CATEGORYNAME">
                      <a:rPr lang="ja-JP" altLang="en-US"/>
                      <a:pPr/>
                      <a:t>[分類名]</a:t>
                    </a:fld>
                    <a:r>
                      <a:rPr lang="ja-JP" altLang="en-US" baseline="0"/>
                      <a:t>
</a:t>
                    </a:r>
                    <a:fld id="{34FE00D1-27D8-4A6A-9CF9-54A3704C452B}" type="VALUE">
                      <a:rPr lang="ja-JP" altLang="en-US" baseline="0"/>
                      <a:pPr/>
                      <a:t>[値]</a:t>
                    </a:fld>
                    <a:r>
                      <a:rPr lang="ja-JP" altLang="en-US" baseline="0"/>
                      <a:t>
</a:t>
                    </a:r>
                    <a:r>
                      <a:rPr lang="en-US" altLang="ja-JP" baseline="0"/>
                      <a:t>11.9%</a:t>
                    </a:r>
                  </a:p>
                </c:rich>
              </c:tx>
              <c:dLblPos val="bestFit"/>
              <c:showLegendKey val="0"/>
              <c:showVal val="1"/>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7-1C89-44F0-84D0-778BA3C76980}"/>
                </c:ext>
              </c:extLst>
            </c:dLbl>
            <c:dLbl>
              <c:idx val="4"/>
              <c:layout>
                <c:manualLayout>
                  <c:x val="-3.5997292843691096E-2"/>
                  <c:y val="3.9743209876543208E-2"/>
                </c:manualLayout>
              </c:layout>
              <c:tx>
                <c:rich>
                  <a:bodyPr/>
                  <a:lstStyle/>
                  <a:p>
                    <a:r>
                      <a:rPr lang="ja-JP" altLang="en-US" baseline="0"/>
                      <a:t>病状（主症状）が落ち着き、入院によらない形で治療ができる程度まで回復</a:t>
                    </a:r>
                  </a:p>
                  <a:p>
                    <a:fld id="{7F0892E7-840C-4598-A7A2-E00560B6A5DD}" type="VALUE">
                      <a:rPr lang="ja-JP" altLang="en-US" baseline="0"/>
                      <a:pPr/>
                      <a:t>[値]</a:t>
                    </a:fld>
                    <a:endParaRPr lang="ja-JP" altLang="en-US" baseline="0"/>
                  </a:p>
                  <a:p>
                    <a:fld id="{06981F6A-4E2F-444E-A025-F19EAE412878}" type="PERCENTAGE">
                      <a:rPr lang="en-US" altLang="ja-JP" baseline="0"/>
                      <a:pPr/>
                      <a:t>[パーセンテージ]</a:t>
                    </a:fld>
                    <a:endParaRPr lang="ja-JP" altLang="en-US"/>
                  </a:p>
                </c:rich>
              </c:tx>
              <c:dLblPos val="bestFit"/>
              <c:showLegendKey val="0"/>
              <c:showVal val="1"/>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9-1C89-44F0-84D0-778BA3C7698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bestFit"/>
            <c:showLegendKey val="0"/>
            <c:showVal val="1"/>
            <c:showCatName val="1"/>
            <c:showSerName val="0"/>
            <c:showPercent val="1"/>
            <c:showBubbleSize val="0"/>
            <c:separator>
</c:separator>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'グラフ(退院阻害要因＿１) '!$O$9:$O$12</c:f>
              <c:strCache>
                <c:ptCount val="4"/>
                <c:pt idx="0">
                  <c:v>病状（主症状）が不安定で入院による治療が必要</c:v>
                </c:pt>
                <c:pt idx="1">
                  <c:v>退院予定</c:v>
                </c:pt>
                <c:pt idx="2">
                  <c:v>退院阻害要因がある</c:v>
                </c:pt>
                <c:pt idx="3">
                  <c:v>退院阻害要因がない</c:v>
                </c:pt>
              </c:strCache>
            </c:strRef>
          </c:cat>
          <c:val>
            <c:numRef>
              <c:f>'グラフ(退院阻害要因＿１) '!$P$9:$P$12</c:f>
              <c:numCache>
                <c:formatCode>#,##0"人"</c:formatCode>
                <c:ptCount val="4"/>
                <c:pt idx="0">
                  <c:v>11296</c:v>
                </c:pt>
                <c:pt idx="1">
                  <c:v>1621</c:v>
                </c:pt>
                <c:pt idx="2">
                  <c:v>1829</c:v>
                </c:pt>
                <c:pt idx="3">
                  <c:v>246</c:v>
                </c:pt>
              </c:numCache>
            </c:numRef>
          </c:val>
          <c:extLst>
            <c:ext xmlns:c16="http://schemas.microsoft.com/office/drawing/2014/chart" uri="{C3380CC4-5D6E-409C-BE32-E72D297353CC}">
              <c16:uniqueId val="{0000000A-1C89-44F0-84D0-778BA3C76980}"/>
            </c:ext>
          </c:extLst>
        </c:ser>
        <c:dLbls>
          <c:showLegendKey val="0"/>
          <c:showVal val="0"/>
          <c:showCatName val="0"/>
          <c:showSerName val="0"/>
          <c:showPercent val="0"/>
          <c:showBubbleSize val="0"/>
          <c:showLeaderLines val="1"/>
        </c:dLbls>
        <c:gapWidth val="100"/>
        <c:secondPieSize val="75"/>
        <c:serLines>
          <c:spPr>
            <a:ln w="9525">
              <a:solidFill>
                <a:schemeClr val="tx1">
                  <a:lumMod val="35000"/>
                  <a:lumOff val="65000"/>
                </a:schemeClr>
              </a:solidFill>
              <a:prstDash val="dash"/>
            </a:ln>
            <a:effectLst/>
          </c:spPr>
        </c:serLines>
      </c:of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mn-lt"/>
                <a:ea typeface="+mn-ea"/>
                <a:cs typeface="+mn-cs"/>
              </a:defRPr>
            </a:pPr>
            <a:r>
              <a:rPr lang="ja-JP" sz="1200" b="1"/>
              <a:t>退院阻害要因の有無</a:t>
            </a:r>
            <a:r>
              <a:rPr lang="ja-JP" altLang="en-US" sz="1200" b="1"/>
              <a:t>＿</a:t>
            </a:r>
            <a:r>
              <a:rPr lang="en-US" altLang="ja-JP" sz="1200" b="1"/>
              <a:t>1</a:t>
            </a:r>
            <a:r>
              <a:rPr lang="ja-JP" altLang="en-US" sz="1200" b="1"/>
              <a:t>年以上　寛解・院内寛解群</a:t>
            </a:r>
            <a:endParaRPr lang="ja-JP" sz="1200" b="1"/>
          </a:p>
        </c:rich>
      </c:tx>
      <c:layout>
        <c:manualLayout>
          <c:xMode val="edge"/>
          <c:yMode val="edge"/>
          <c:x val="0.12753567378198905"/>
          <c:y val="2.2882740324149081E-2"/>
        </c:manualLayout>
      </c:layout>
      <c:overlay val="0"/>
      <c:spPr>
        <a:noFill/>
        <a:ln>
          <a:noFill/>
        </a:ln>
        <a:effectLst/>
      </c:spPr>
      <c:txPr>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mn-lt"/>
              <a:ea typeface="+mn-ea"/>
              <a:cs typeface="+mn-cs"/>
            </a:defRPr>
          </a:pPr>
          <a:endParaRPr lang="ja-JP"/>
        </a:p>
      </c:txPr>
    </c:title>
    <c:autoTitleDeleted val="0"/>
    <c:plotArea>
      <c:layout>
        <c:manualLayout>
          <c:layoutTarget val="inner"/>
          <c:xMode val="edge"/>
          <c:yMode val="edge"/>
          <c:x val="6.9531712199843887E-2"/>
          <c:y val="0.19912972222222222"/>
          <c:w val="0.87222222222222212"/>
          <c:h val="0.74600129172335139"/>
        </c:manualLayout>
      </c:layout>
      <c:ofPieChart>
        <c:ofPieType val="pie"/>
        <c:varyColors val="1"/>
        <c:ser>
          <c:idx val="0"/>
          <c:order val="0"/>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5B7A-41BE-A599-6FBD5DED398A}"/>
              </c:ext>
            </c:extLst>
          </c:dPt>
          <c:dPt>
            <c:idx val="1"/>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5B7A-41BE-A599-6FBD5DED398A}"/>
              </c:ext>
            </c:extLst>
          </c:dPt>
          <c:dPt>
            <c:idx val="2"/>
            <c:bubble3D val="0"/>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5-5B7A-41BE-A599-6FBD5DED398A}"/>
              </c:ext>
            </c:extLst>
          </c:dPt>
          <c:dPt>
            <c:idx val="3"/>
            <c:bubble3D val="0"/>
            <c:spPr>
              <a:gradFill rotWithShape="1">
                <a:gsLst>
                  <a:gs pos="0">
                    <a:schemeClr val="accent4">
                      <a:tint val="50000"/>
                      <a:satMod val="300000"/>
                    </a:schemeClr>
                  </a:gs>
                  <a:gs pos="35000">
                    <a:schemeClr val="accent4">
                      <a:tint val="37000"/>
                      <a:satMod val="300000"/>
                    </a:schemeClr>
                  </a:gs>
                  <a:gs pos="100000">
                    <a:schemeClr val="accent4">
                      <a:tint val="15000"/>
                      <a:satMod val="350000"/>
                    </a:schemeClr>
                  </a:gs>
                </a:gsLst>
                <a:lin ang="16200000" scaled="1"/>
              </a:gradFill>
              <a:ln w="9525" cap="flat" cmpd="sng" algn="ctr">
                <a:solidFill>
                  <a:schemeClr val="accent4">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7-5B7A-41BE-A599-6FBD5DED398A}"/>
              </c:ext>
            </c:extLst>
          </c:dPt>
          <c:dPt>
            <c:idx val="4"/>
            <c:bubble3D val="0"/>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9-5B7A-41BE-A599-6FBD5DED398A}"/>
              </c:ext>
            </c:extLst>
          </c:dPt>
          <c:dLbls>
            <c:dLbl>
              <c:idx val="2"/>
              <c:tx>
                <c:rich>
                  <a:bodyPr/>
                  <a:lstStyle/>
                  <a:p>
                    <a:fld id="{86904A97-26A0-4C93-AD31-96EC97B6619C}" type="CATEGORYNAME">
                      <a:rPr lang="ja-JP" altLang="en-US"/>
                      <a:pPr/>
                      <a:t>[分類名]</a:t>
                    </a:fld>
                    <a:r>
                      <a:rPr lang="ja-JP" altLang="en-US" baseline="0"/>
                      <a:t>
</a:t>
                    </a:r>
                    <a:fld id="{A749C040-EF30-48B7-9400-A037E4715F51}" type="VALUE">
                      <a:rPr lang="ja-JP" altLang="en-US" baseline="0"/>
                      <a:pPr/>
                      <a:t>[値]</a:t>
                    </a:fld>
                    <a:r>
                      <a:rPr lang="ja-JP" altLang="en-US" baseline="0"/>
                      <a:t>
</a:t>
                    </a:r>
                    <a:r>
                      <a:rPr lang="en-US" altLang="ja-JP" baseline="0"/>
                      <a:t>91.8%</a:t>
                    </a:r>
                  </a:p>
                </c:rich>
              </c:tx>
              <c:dLblPos val="bestFit"/>
              <c:showLegendKey val="0"/>
              <c:showVal val="1"/>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5B7A-41BE-A599-6FBD5DED398A}"/>
                </c:ext>
              </c:extLst>
            </c:dLbl>
            <c:dLbl>
              <c:idx val="3"/>
              <c:tx>
                <c:rich>
                  <a:bodyPr/>
                  <a:lstStyle/>
                  <a:p>
                    <a:fld id="{D1C9F940-4AE4-4145-AE11-8D3A71E8C3C6}" type="CATEGORYNAME">
                      <a:rPr lang="ja-JP" altLang="en-US"/>
                      <a:pPr/>
                      <a:t>[分類名]</a:t>
                    </a:fld>
                    <a:r>
                      <a:rPr lang="ja-JP" altLang="en-US" baseline="0"/>
                      <a:t>
</a:t>
                    </a:r>
                    <a:fld id="{9225DE07-E733-4730-814B-2BAEA288540C}" type="VALUE">
                      <a:rPr lang="ja-JP" altLang="en-US" baseline="0"/>
                      <a:pPr/>
                      <a:t>[値]</a:t>
                    </a:fld>
                    <a:r>
                      <a:rPr lang="ja-JP" altLang="en-US" baseline="0"/>
                      <a:t>
</a:t>
                    </a:r>
                    <a:r>
                      <a:rPr lang="en-US" altLang="ja-JP" baseline="0"/>
                      <a:t>8.2%</a:t>
                    </a:r>
                  </a:p>
                </c:rich>
              </c:tx>
              <c:dLblPos val="bestFit"/>
              <c:showLegendKey val="0"/>
              <c:showVal val="1"/>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7-5B7A-41BE-A599-6FBD5DED398A}"/>
                </c:ext>
              </c:extLst>
            </c:dLbl>
            <c:dLbl>
              <c:idx val="4"/>
              <c:tx>
                <c:rich>
                  <a:bodyPr/>
                  <a:lstStyle/>
                  <a:p>
                    <a:r>
                      <a:rPr lang="ja-JP" altLang="en-US" baseline="0"/>
                      <a:t>病状（主症状）が落ち着き、入院によらない形で治療ができる程度まで回復</a:t>
                    </a:r>
                  </a:p>
                  <a:p>
                    <a:fld id="{599181A0-E3F6-4864-A070-B120CBE38657}" type="VALUE">
                      <a:rPr lang="ja-JP" altLang="en-US" baseline="0"/>
                      <a:pPr/>
                      <a:t>[値]</a:t>
                    </a:fld>
                    <a:endParaRPr lang="ja-JP" altLang="en-US" baseline="0"/>
                  </a:p>
                  <a:p>
                    <a:fld id="{06EA2244-7612-4771-8098-D5BBB153D990}" type="PERCENTAGE">
                      <a:rPr lang="en-US" altLang="ja-JP" baseline="0"/>
                      <a:pPr/>
                      <a:t>[パーセンテージ]</a:t>
                    </a:fld>
                    <a:endParaRPr lang="ja-JP" altLang="en-US"/>
                  </a:p>
                </c:rich>
              </c:tx>
              <c:dLblPos val="bestFit"/>
              <c:showLegendKey val="0"/>
              <c:showVal val="1"/>
              <c:showCatName val="1"/>
              <c:showSerName val="0"/>
              <c:showPercent val="1"/>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9-5B7A-41BE-A599-6FBD5DED398A}"/>
                </c:ext>
              </c:extLst>
            </c:dLbl>
            <c:numFmt formatCode="0.0%" sourceLinked="0"/>
            <c:spPr>
              <a:noFill/>
              <a:ln>
                <a:noFill/>
              </a:ln>
              <a:effectLst/>
            </c:spPr>
            <c:txPr>
              <a:bodyPr rot="0" spcFirstLastPara="1" vertOverflow="overflow" horzOverflow="overflow"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bestFit"/>
            <c:showLegendKey val="0"/>
            <c:showVal val="1"/>
            <c:showCatName val="1"/>
            <c:showSerName val="0"/>
            <c:showPercent val="1"/>
            <c:showBubbleSize val="0"/>
            <c:separator>
</c:separator>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'グラフ(退院阻害要因＿１) '!$O$9:$O$12</c:f>
              <c:strCache>
                <c:ptCount val="4"/>
                <c:pt idx="0">
                  <c:v>病状（主症状）が不安定で入院による治療が必要</c:v>
                </c:pt>
                <c:pt idx="1">
                  <c:v>退院予定</c:v>
                </c:pt>
                <c:pt idx="2">
                  <c:v>退院阻害要因がある</c:v>
                </c:pt>
                <c:pt idx="3">
                  <c:v>退院阻害要因がない</c:v>
                </c:pt>
              </c:strCache>
            </c:strRef>
          </c:cat>
          <c:val>
            <c:numRef>
              <c:f>'グラフ(退院阻害要因＿１) '!$R$9:$R$12</c:f>
              <c:numCache>
                <c:formatCode>#,##0"人"</c:formatCode>
                <c:ptCount val="4"/>
                <c:pt idx="0">
                  <c:v>132</c:v>
                </c:pt>
                <c:pt idx="1">
                  <c:v>84</c:v>
                </c:pt>
                <c:pt idx="2">
                  <c:v>280</c:v>
                </c:pt>
                <c:pt idx="3">
                  <c:v>25</c:v>
                </c:pt>
              </c:numCache>
            </c:numRef>
          </c:val>
          <c:extLst>
            <c:ext xmlns:c15="http://schemas.microsoft.com/office/drawing/2012/chart" uri="{02D57815-91ED-43cb-92C2-25804820EDAC}">
              <c15:datalabelsRange>
                <c15:f>'グラフ(退院阻害要因＿１) '!$H$3:$H$5</c15:f>
              </c15:datalabelsRange>
            </c:ext>
            <c:ext xmlns:c16="http://schemas.microsoft.com/office/drawing/2014/chart" uri="{C3380CC4-5D6E-409C-BE32-E72D297353CC}">
              <c16:uniqueId val="{0000000A-5B7A-41BE-A599-6FBD5DED398A}"/>
            </c:ext>
          </c:extLst>
        </c:ser>
        <c:dLbls>
          <c:showLegendKey val="0"/>
          <c:showVal val="0"/>
          <c:showCatName val="0"/>
          <c:showSerName val="0"/>
          <c:showPercent val="0"/>
          <c:showBubbleSize val="0"/>
          <c:showLeaderLines val="1"/>
        </c:dLbls>
        <c:gapWidth val="100"/>
        <c:secondPieSize val="75"/>
        <c:serLines>
          <c:spPr>
            <a:ln w="9525">
              <a:solidFill>
                <a:schemeClr val="tx1">
                  <a:lumMod val="35000"/>
                  <a:lumOff val="65000"/>
                </a:schemeClr>
              </a:solidFill>
              <a:prstDash val="dash"/>
            </a:ln>
            <a:effectLst/>
          </c:spPr>
        </c:serLines>
      </c:of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r>
              <a:rPr lang="ja-JP" b="1"/>
              <a:t>退院予定の有無</a:t>
            </a:r>
          </a:p>
        </c:rich>
      </c:tx>
      <c:overlay val="0"/>
      <c:spPr>
        <a:noFill/>
        <a:ln>
          <a:noFill/>
        </a:ln>
        <a:effectLst/>
      </c:spPr>
      <c:txPr>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endParaRPr lang="ja-JP"/>
        </a:p>
      </c:txPr>
    </c:title>
    <c:autoTitleDeleted val="0"/>
    <c:plotArea>
      <c:layout>
        <c:manualLayout>
          <c:layoutTarget val="inner"/>
          <c:xMode val="edge"/>
          <c:yMode val="edge"/>
          <c:x val="0.23362970809792846"/>
          <c:y val="0.29219135802469137"/>
          <c:w val="0.53694268608580786"/>
          <c:h val="0.58126578517307981"/>
        </c:manualLayout>
      </c:layout>
      <c:pieChart>
        <c:varyColors val="1"/>
        <c:ser>
          <c:idx val="0"/>
          <c:order val="0"/>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2B92-4CD4-90AA-2F1A93583109}"/>
              </c:ext>
            </c:extLst>
          </c:dPt>
          <c:dPt>
            <c:idx val="1"/>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2B92-4CD4-90AA-2F1A93583109}"/>
              </c:ext>
            </c:extLst>
          </c:dPt>
          <c:dPt>
            <c:idx val="2"/>
            <c:bubble3D val="0"/>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5-2B92-4CD4-90AA-2F1A93583109}"/>
              </c:ext>
            </c:extLst>
          </c:dPt>
          <c:dLbls>
            <c:dLbl>
              <c:idx val="0"/>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2B92-4CD4-90AA-2F1A93583109}"/>
                </c:ext>
              </c:extLst>
            </c:dLbl>
            <c:dLbl>
              <c:idx val="1"/>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2B92-4CD4-90AA-2F1A93583109}"/>
                </c:ext>
              </c:extLst>
            </c:dLbl>
            <c:dLbl>
              <c:idx val="2"/>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2B92-4CD4-90AA-2F1A93583109}"/>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bestFit"/>
            <c:showLegendKey val="0"/>
            <c:showVal val="0"/>
            <c:showCatName val="1"/>
            <c:showSerName val="0"/>
            <c:showPercent val="1"/>
            <c:showBubbleSize val="0"/>
            <c:separator>, </c:separator>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val>
            <c:numRef>
              <c:f>'グラフ(退院阻害要因＿１) '!$I$3:$I$5</c:f>
            </c:numRef>
          </c:val>
          <c:extLst>
            <c:ext xmlns:c15="http://schemas.microsoft.com/office/drawing/2012/chart" uri="{02D57815-91ED-43cb-92C2-25804820EDAC}">
              <c15:filteredCategoryTitle>
                <c15:cat>
                  <c:multiLvlStrRef>
                    <c:extLst>
                      <c:ext uri="{02D57815-91ED-43cb-92C2-25804820EDAC}">
                        <c15:formulaRef>
                          <c15:sqref>'グラフ(退院阻害要因＿１) '!$H$3:$H$5</c15:sqref>
                        </c15:formulaRef>
                      </c:ext>
                    </c:extLst>
                  </c:multiLvlStrRef>
                </c15:cat>
              </c15:filteredCategoryTitle>
            </c:ext>
            <c:ext xmlns:c16="http://schemas.microsoft.com/office/drawing/2014/chart" uri="{C3380CC4-5D6E-409C-BE32-E72D297353CC}">
              <c16:uniqueId val="{00000006-2B92-4CD4-90AA-2F1A93583109}"/>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メイリオ" panose="020B0604030504040204" pitchFamily="50" charset="-128"/>
                <a:ea typeface="メイリオ" panose="020B0604030504040204" pitchFamily="50" charset="-128"/>
                <a:cs typeface="+mn-cs"/>
              </a:defRPr>
            </a:pPr>
            <a:r>
              <a:rPr lang="ja-JP" sz="1200" b="1">
                <a:latin typeface="メイリオ" panose="020B0604030504040204" pitchFamily="50" charset="-128"/>
                <a:ea typeface="メイリオ" panose="020B0604030504040204" pitchFamily="50" charset="-128"/>
              </a:rPr>
              <a:t>年齢区分</a:t>
            </a:r>
            <a:r>
              <a:rPr lang="ja-JP" altLang="en-US" sz="1200" b="1">
                <a:latin typeface="メイリオ" panose="020B0604030504040204" pitchFamily="50" charset="-128"/>
                <a:ea typeface="メイリオ" panose="020B0604030504040204" pitchFamily="50" charset="-128"/>
              </a:rPr>
              <a:t>＿寛解・院内寛解群</a:t>
            </a:r>
            <a:endParaRPr lang="ja-JP" sz="1200" b="1">
              <a:latin typeface="メイリオ" panose="020B0604030504040204" pitchFamily="50" charset="-128"/>
              <a:ea typeface="メイリオ" panose="020B0604030504040204" pitchFamily="50" charset="-128"/>
            </a:endParaRPr>
          </a:p>
        </c:rich>
      </c:tx>
      <c:overlay val="0"/>
      <c:spPr>
        <a:noFill/>
        <a:ln>
          <a:noFill/>
        </a:ln>
        <a:effectLst/>
      </c:spPr>
      <c:txPr>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メイリオ" panose="020B0604030504040204" pitchFamily="50" charset="-128"/>
              <a:ea typeface="メイリオ" panose="020B0604030504040204" pitchFamily="50" charset="-128"/>
              <a:cs typeface="+mn-cs"/>
            </a:defRPr>
          </a:pPr>
          <a:endParaRPr lang="ja-JP"/>
        </a:p>
      </c:txPr>
    </c:title>
    <c:autoTitleDeleted val="0"/>
    <c:plotArea>
      <c:layout/>
      <c:pieChart>
        <c:varyColors val="1"/>
        <c:ser>
          <c:idx val="2"/>
          <c:order val="0"/>
          <c:tx>
            <c:strRef>
              <c:f>'グラフ(年齢区分）'!$Q$4</c:f>
              <c:strCache>
                <c:ptCount val="1"/>
                <c:pt idx="0">
                  <c:v>計</c:v>
                </c:pt>
              </c:strCache>
            </c:strRef>
          </c:tx>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B8D9-4FC4-879E-1F357D6C2F1C}"/>
              </c:ext>
            </c:extLst>
          </c:dPt>
          <c:dPt>
            <c:idx val="1"/>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B8D9-4FC4-879E-1F357D6C2F1C}"/>
              </c:ext>
            </c:extLst>
          </c:dPt>
          <c:dPt>
            <c:idx val="2"/>
            <c:bubble3D val="0"/>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5-B8D9-4FC4-879E-1F357D6C2F1C}"/>
              </c:ext>
            </c:extLst>
          </c:dPt>
          <c:dPt>
            <c:idx val="3"/>
            <c:bubble3D val="0"/>
            <c:spPr>
              <a:gradFill rotWithShape="1">
                <a:gsLst>
                  <a:gs pos="0">
                    <a:schemeClr val="accent4">
                      <a:tint val="50000"/>
                      <a:satMod val="300000"/>
                    </a:schemeClr>
                  </a:gs>
                  <a:gs pos="35000">
                    <a:schemeClr val="accent4">
                      <a:tint val="37000"/>
                      <a:satMod val="300000"/>
                    </a:schemeClr>
                  </a:gs>
                  <a:gs pos="100000">
                    <a:schemeClr val="accent4">
                      <a:tint val="15000"/>
                      <a:satMod val="350000"/>
                    </a:schemeClr>
                  </a:gs>
                </a:gsLst>
                <a:lin ang="16200000" scaled="1"/>
              </a:gradFill>
              <a:ln w="9525" cap="flat" cmpd="sng" algn="ctr">
                <a:solidFill>
                  <a:schemeClr val="accent4">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7-B8D9-4FC4-879E-1F357D6C2F1C}"/>
              </c:ext>
            </c:extLst>
          </c:dPt>
          <c:dPt>
            <c:idx val="4"/>
            <c:bubble3D val="0"/>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9-B8D9-4FC4-879E-1F357D6C2F1C}"/>
              </c:ext>
            </c:extLst>
          </c:dPt>
          <c:dPt>
            <c:idx val="5"/>
            <c:bubble3D val="0"/>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9525" cap="flat" cmpd="sng" algn="ctr">
                <a:solidFill>
                  <a:schemeClr val="accent6">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B-B8D9-4FC4-879E-1F357D6C2F1C}"/>
              </c:ext>
            </c:extLst>
          </c:dPt>
          <c:dPt>
            <c:idx val="6"/>
            <c:bubble3D val="0"/>
            <c:spPr>
              <a:gradFill rotWithShape="1">
                <a:gsLst>
                  <a:gs pos="0">
                    <a:schemeClr val="accent1">
                      <a:lumMod val="60000"/>
                      <a:tint val="50000"/>
                      <a:satMod val="300000"/>
                    </a:schemeClr>
                  </a:gs>
                  <a:gs pos="35000">
                    <a:schemeClr val="accent1">
                      <a:lumMod val="60000"/>
                      <a:tint val="37000"/>
                      <a:satMod val="300000"/>
                    </a:schemeClr>
                  </a:gs>
                  <a:gs pos="100000">
                    <a:schemeClr val="accent1">
                      <a:lumMod val="60000"/>
                      <a:tint val="15000"/>
                      <a:satMod val="350000"/>
                    </a:schemeClr>
                  </a:gs>
                </a:gsLst>
                <a:lin ang="16200000" scaled="1"/>
              </a:gradFill>
              <a:ln w="9525" cap="flat" cmpd="sng" algn="ctr">
                <a:solidFill>
                  <a:schemeClr val="accent1">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D-B8D9-4FC4-879E-1F357D6C2F1C}"/>
              </c:ext>
            </c:extLst>
          </c:dPt>
          <c:dPt>
            <c:idx val="7"/>
            <c:bubble3D val="0"/>
            <c:spPr>
              <a:gradFill rotWithShape="1">
                <a:gsLst>
                  <a:gs pos="0">
                    <a:schemeClr val="accent2">
                      <a:lumMod val="60000"/>
                      <a:tint val="50000"/>
                      <a:satMod val="300000"/>
                    </a:schemeClr>
                  </a:gs>
                  <a:gs pos="35000">
                    <a:schemeClr val="accent2">
                      <a:lumMod val="60000"/>
                      <a:tint val="37000"/>
                      <a:satMod val="300000"/>
                    </a:schemeClr>
                  </a:gs>
                  <a:gs pos="100000">
                    <a:schemeClr val="accent2">
                      <a:lumMod val="60000"/>
                      <a:tint val="15000"/>
                      <a:satMod val="350000"/>
                    </a:schemeClr>
                  </a:gs>
                </a:gsLst>
                <a:lin ang="16200000" scaled="1"/>
              </a:gradFill>
              <a:ln w="9525" cap="flat" cmpd="sng" algn="ctr">
                <a:solidFill>
                  <a:schemeClr val="accent2">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F-B8D9-4FC4-879E-1F357D6C2F1C}"/>
              </c:ext>
            </c:extLst>
          </c:dPt>
          <c:dPt>
            <c:idx val="8"/>
            <c:bubble3D val="0"/>
            <c:spPr>
              <a:gradFill rotWithShape="1">
                <a:gsLst>
                  <a:gs pos="0">
                    <a:schemeClr val="accent3">
                      <a:lumMod val="60000"/>
                      <a:tint val="50000"/>
                      <a:satMod val="300000"/>
                    </a:schemeClr>
                  </a:gs>
                  <a:gs pos="35000">
                    <a:schemeClr val="accent3">
                      <a:lumMod val="60000"/>
                      <a:tint val="37000"/>
                      <a:satMod val="300000"/>
                    </a:schemeClr>
                  </a:gs>
                  <a:gs pos="100000">
                    <a:schemeClr val="accent3">
                      <a:lumMod val="60000"/>
                      <a:tint val="15000"/>
                      <a:satMod val="350000"/>
                    </a:schemeClr>
                  </a:gs>
                </a:gsLst>
                <a:lin ang="16200000" scaled="1"/>
              </a:gradFill>
              <a:ln w="9525" cap="flat" cmpd="sng" algn="ctr">
                <a:solidFill>
                  <a:schemeClr val="accent3">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1-B8D9-4FC4-879E-1F357D6C2F1C}"/>
              </c:ext>
            </c:extLst>
          </c:dPt>
          <c:dLbls>
            <c:dLbl>
              <c:idx val="0"/>
              <c:layout>
                <c:manualLayout>
                  <c:x val="2.7865810609790726E-2"/>
                  <c:y val="4.1157984004836792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B8D9-4FC4-879E-1F357D6C2F1C}"/>
                </c:ext>
              </c:extLst>
            </c:dLbl>
            <c:dLbl>
              <c:idx val="1"/>
              <c:layout>
                <c:manualLayout>
                  <c:x val="0.27473798563512597"/>
                  <c:y val="-2.6601756819480005E-3"/>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B8D9-4FC4-879E-1F357D6C2F1C}"/>
                </c:ext>
              </c:extLst>
            </c:dLbl>
            <c:dLbl>
              <c:idx val="2"/>
              <c:layout>
                <c:manualLayout>
                  <c:x val="0.20347242303694382"/>
                  <c:y val="0.1478017685904647"/>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B8D9-4FC4-879E-1F357D6C2F1C}"/>
                </c:ext>
              </c:extLst>
            </c:dLbl>
            <c:dLbl>
              <c:idx val="3"/>
              <c:layout>
                <c:manualLayout>
                  <c:x val="-0.11490873459371166"/>
                  <c:y val="9.4394937941495491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B8D9-4FC4-879E-1F357D6C2F1C}"/>
                </c:ext>
              </c:extLst>
            </c:dLbl>
            <c:dLbl>
              <c:idx val="8"/>
              <c:layout>
                <c:manualLayout>
                  <c:x val="-0.3296131592041745"/>
                  <c:y val="0.13804288651299285"/>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1-B8D9-4FC4-879E-1F357D6C2F1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1"/>
            <c:showSerName val="0"/>
            <c:showPercent val="1"/>
            <c:showBubbleSize val="0"/>
            <c:separator>
</c:separator>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'グラフ(年齢区分）'!$M$5:$M$13</c:f>
              <c:strCache>
                <c:ptCount val="9"/>
                <c:pt idx="0">
                  <c:v>19歳以下</c:v>
                </c:pt>
                <c:pt idx="1">
                  <c:v>20歳代</c:v>
                </c:pt>
                <c:pt idx="2">
                  <c:v>30歳代</c:v>
                </c:pt>
                <c:pt idx="3">
                  <c:v>40歳代</c:v>
                </c:pt>
                <c:pt idx="4">
                  <c:v>50歳代</c:v>
                </c:pt>
                <c:pt idx="5">
                  <c:v>60歳代</c:v>
                </c:pt>
                <c:pt idx="6">
                  <c:v>70歳代</c:v>
                </c:pt>
                <c:pt idx="7">
                  <c:v>80歳代</c:v>
                </c:pt>
                <c:pt idx="8">
                  <c:v>90歳以上</c:v>
                </c:pt>
              </c:strCache>
            </c:strRef>
          </c:cat>
          <c:val>
            <c:numRef>
              <c:f>'グラフ(年齢区分）'!$Q$5:$Q$13</c:f>
              <c:numCache>
                <c:formatCode>#,##0"人"</c:formatCode>
                <c:ptCount val="9"/>
                <c:pt idx="0">
                  <c:v>37</c:v>
                </c:pt>
                <c:pt idx="1">
                  <c:v>57</c:v>
                </c:pt>
                <c:pt idx="2">
                  <c:v>95</c:v>
                </c:pt>
                <c:pt idx="3">
                  <c:v>199</c:v>
                </c:pt>
                <c:pt idx="4">
                  <c:v>302</c:v>
                </c:pt>
                <c:pt idx="5">
                  <c:v>268</c:v>
                </c:pt>
                <c:pt idx="6">
                  <c:v>360</c:v>
                </c:pt>
                <c:pt idx="7">
                  <c:v>288</c:v>
                </c:pt>
                <c:pt idx="8">
                  <c:v>51</c:v>
                </c:pt>
              </c:numCache>
            </c:numRef>
          </c:val>
          <c:extLst>
            <c:ext xmlns:c16="http://schemas.microsoft.com/office/drawing/2014/chart" uri="{C3380CC4-5D6E-409C-BE32-E72D297353CC}">
              <c16:uniqueId val="{00000012-B8D9-4FC4-879E-1F357D6C2F1C}"/>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r>
              <a:rPr lang="ja-JP" b="1"/>
              <a:t>退院予定の有無（</a:t>
            </a:r>
            <a:r>
              <a:rPr lang="en-US" b="1"/>
              <a:t>1</a:t>
            </a:r>
            <a:r>
              <a:rPr lang="ja-JP" b="1"/>
              <a:t>年以上寛解・院内寛解群）</a:t>
            </a:r>
          </a:p>
        </c:rich>
      </c:tx>
      <c:overlay val="0"/>
      <c:spPr>
        <a:noFill/>
        <a:ln>
          <a:noFill/>
        </a:ln>
        <a:effectLst/>
      </c:spPr>
      <c:txPr>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endParaRPr lang="ja-JP"/>
        </a:p>
      </c:txPr>
    </c:title>
    <c:autoTitleDeleted val="0"/>
    <c:plotArea>
      <c:layout/>
      <c:pieChart>
        <c:varyColors val="1"/>
        <c:ser>
          <c:idx val="0"/>
          <c:order val="0"/>
          <c:explosion val="2"/>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ABFC-405E-8739-0649B48FAC54}"/>
              </c:ext>
            </c:extLst>
          </c:dPt>
          <c:dPt>
            <c:idx val="1"/>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ABFC-405E-8739-0649B48FAC54}"/>
              </c:ext>
            </c:extLst>
          </c:dPt>
          <c:dPt>
            <c:idx val="2"/>
            <c:bubble3D val="0"/>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5-ABFC-405E-8739-0649B48FAC54}"/>
              </c:ext>
            </c:extLst>
          </c:dPt>
          <c:dLbls>
            <c:dLbl>
              <c:idx val="0"/>
              <c:layout>
                <c:manualLayout>
                  <c:x val="-2.224495916504296E-3"/>
                  <c:y val="-4.2453908103277059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BFC-405E-8739-0649B48FAC54}"/>
                </c:ext>
              </c:extLst>
            </c:dLbl>
            <c:dLbl>
              <c:idx val="1"/>
              <c:layout>
                <c:manualLayout>
                  <c:x val="9.9084645669291357E-2"/>
                  <c:y val="6.1385243511227677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BFC-405E-8739-0649B48FAC54}"/>
                </c:ext>
              </c:extLst>
            </c:dLbl>
            <c:dLbl>
              <c:idx val="2"/>
              <c:layout>
                <c:manualLayout>
                  <c:x val="4.8185258092738409E-2"/>
                  <c:y val="6.2194881889763777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BFC-405E-8739-0649B48FAC5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val>
            <c:numRef>
              <c:f>'グラフ(退院阻害要因＿１) '!$K$3:$K$5</c:f>
            </c:numRef>
          </c:val>
          <c:extLst>
            <c:ext xmlns:c15="http://schemas.microsoft.com/office/drawing/2012/chart" uri="{02D57815-91ED-43cb-92C2-25804820EDAC}">
              <c15:filteredCategoryTitle>
                <c15:cat>
                  <c:multiLvlStrRef>
                    <c:extLst>
                      <c:ext uri="{02D57815-91ED-43cb-92C2-25804820EDAC}">
                        <c15:formulaRef>
                          <c15:sqref>'グラフ(退院阻害要因＿１) '!$H$3:$H$5</c15:sqref>
                        </c15:formulaRef>
                      </c:ext>
                    </c:extLst>
                  </c:multiLvlStrRef>
                </c15:cat>
              </c15:filteredCategoryTitle>
            </c:ext>
            <c:ext xmlns:c16="http://schemas.microsoft.com/office/drawing/2014/chart" uri="{C3380CC4-5D6E-409C-BE32-E72D297353CC}">
              <c16:uniqueId val="{00000006-ABFC-405E-8739-0649B48FAC54}"/>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ja-JP"/>
              <a:t>退院阻害要因（複数回答）</a:t>
            </a:r>
          </a:p>
        </c:rich>
      </c:tx>
      <c:layout>
        <c:manualLayout>
          <c:xMode val="edge"/>
          <c:yMode val="edge"/>
          <c:x val="0.25397944100006864"/>
          <c:y val="4.7142134634455676E-3"/>
        </c:manualLayout>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ja-JP"/>
        </a:p>
      </c:txPr>
    </c:title>
    <c:autoTitleDeleted val="0"/>
    <c:plotArea>
      <c:layout>
        <c:manualLayout>
          <c:layoutTarget val="inner"/>
          <c:xMode val="edge"/>
          <c:yMode val="edge"/>
          <c:x val="0.5006108611423572"/>
          <c:y val="8.7115148450480392E-2"/>
          <c:w val="0.45619237924329531"/>
          <c:h val="0.85802993089166602"/>
        </c:manualLayout>
      </c:layout>
      <c:barChart>
        <c:barDir val="bar"/>
        <c:grouping val="clustered"/>
        <c:varyColors val="0"/>
        <c:ser>
          <c:idx val="0"/>
          <c:order val="0"/>
          <c:tx>
            <c:strRef>
              <c:f>'グラフ(退院阻害要因＿２）'!$L$3</c:f>
              <c:strCache>
                <c:ptCount val="1"/>
                <c:pt idx="0">
                  <c:v>65歳未満</c:v>
                </c:pt>
              </c:strCache>
            </c:strRef>
          </c:tx>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invertIfNegative val="0"/>
          <c:cat>
            <c:strRef>
              <c:f>'グラフ(退院阻害要因＿２）'!$K$4:$K$23</c:f>
              <c:strCache>
                <c:ptCount val="20"/>
                <c:pt idx="0">
                  <c:v>病状は落ち着いているが、ときどき不安定な病状が見られ、そのことが退院を阻害する要因になっている</c:v>
                </c:pt>
                <c:pt idx="1">
                  <c:v>病識がなく通院服薬の中断が予測される</c:v>
                </c:pt>
                <c:pt idx="2">
                  <c:v>反社会的行動が予測される</c:v>
                </c:pt>
                <c:pt idx="3">
                  <c:v>退院意欲が乏しい</c:v>
                </c:pt>
                <c:pt idx="4">
                  <c:v>現実認識が乏しい</c:v>
                </c:pt>
                <c:pt idx="5">
                  <c:v>退院による環境変化への不安が強い</c:v>
                </c:pt>
                <c:pt idx="6">
                  <c:v>援助者との対人関係がもてない</c:v>
                </c:pt>
                <c:pt idx="7">
                  <c:v>家事（食事・洗濯・金銭管理など）ができない</c:v>
                </c:pt>
                <c:pt idx="8">
                  <c:v>家族がいない・本人をサポートする機能が実質ない</c:v>
                </c:pt>
                <c:pt idx="9">
                  <c:v>家族が退院に反対している</c:v>
                </c:pt>
                <c:pt idx="10">
                  <c:v>住まいの確保ができない</c:v>
                </c:pt>
                <c:pt idx="11">
                  <c:v>生活費の確保ができない</c:v>
                </c:pt>
                <c:pt idx="12">
                  <c:v>日常生活を支える制度がない</c:v>
                </c:pt>
                <c:pt idx="13">
                  <c:v>救急診療体制がない</c:v>
                </c:pt>
                <c:pt idx="14">
                  <c:v>退院に向けてサポートする人的資源が乏しい</c:v>
                </c:pt>
                <c:pt idx="15">
                  <c:v>退院後サポート・マネジメントする人的資源が乏しい</c:v>
                </c:pt>
                <c:pt idx="16">
                  <c:v>住所地と入院先の距離があり支援体制がとりにくい</c:v>
                </c:pt>
                <c:pt idx="17">
                  <c:v>身体的機能や状態を原因としたADLの低下がある</c:v>
                </c:pt>
                <c:pt idx="18">
                  <c:v>身体合併症の程度が重いなど身体面のフォローが必要であり、地域での生活が困難</c:v>
                </c:pt>
                <c:pt idx="19">
                  <c:v>その他の退院阻害要因がある</c:v>
                </c:pt>
              </c:strCache>
            </c:strRef>
          </c:cat>
          <c:val>
            <c:numRef>
              <c:f>'グラフ(退院阻害要因＿２）'!$L$4:$L$23</c:f>
              <c:numCache>
                <c:formatCode>0.0%</c:formatCode>
                <c:ptCount val="20"/>
                <c:pt idx="0">
                  <c:v>0.4654895666131621</c:v>
                </c:pt>
                <c:pt idx="1">
                  <c:v>0.3451043338683788</c:v>
                </c:pt>
                <c:pt idx="2">
                  <c:v>8.98876404494382E-2</c:v>
                </c:pt>
                <c:pt idx="3">
                  <c:v>0.32423756019261635</c:v>
                </c:pt>
                <c:pt idx="4">
                  <c:v>0.43820224719101125</c:v>
                </c:pt>
                <c:pt idx="5">
                  <c:v>0.3274478330658106</c:v>
                </c:pt>
                <c:pt idx="6">
                  <c:v>0.1332263242375602</c:v>
                </c:pt>
                <c:pt idx="7">
                  <c:v>0.32423756019261635</c:v>
                </c:pt>
                <c:pt idx="8">
                  <c:v>0.16211878009630817</c:v>
                </c:pt>
                <c:pt idx="9">
                  <c:v>0.1926163723916533</c:v>
                </c:pt>
                <c:pt idx="10">
                  <c:v>0.32423756019261635</c:v>
                </c:pt>
                <c:pt idx="11">
                  <c:v>5.1364365971107544E-2</c:v>
                </c:pt>
                <c:pt idx="12">
                  <c:v>4.9759229534510431E-2</c:v>
                </c:pt>
                <c:pt idx="13">
                  <c:v>6.420545746388443E-3</c:v>
                </c:pt>
                <c:pt idx="14">
                  <c:v>9.3097913322632425E-2</c:v>
                </c:pt>
                <c:pt idx="15">
                  <c:v>8.0256821829855537E-2</c:v>
                </c:pt>
                <c:pt idx="16">
                  <c:v>1.6051364365971106E-2</c:v>
                </c:pt>
                <c:pt idx="17">
                  <c:v>8.98876404494382E-2</c:v>
                </c:pt>
                <c:pt idx="18">
                  <c:v>5.1364365971107544E-2</c:v>
                </c:pt>
                <c:pt idx="19">
                  <c:v>2.247191011235955E-2</c:v>
                </c:pt>
              </c:numCache>
            </c:numRef>
          </c:val>
          <c:extLst>
            <c:ext xmlns:c16="http://schemas.microsoft.com/office/drawing/2014/chart" uri="{C3380CC4-5D6E-409C-BE32-E72D297353CC}">
              <c16:uniqueId val="{00000000-937D-4A97-83B7-B58ADA48352F}"/>
            </c:ext>
          </c:extLst>
        </c:ser>
        <c:ser>
          <c:idx val="1"/>
          <c:order val="1"/>
          <c:tx>
            <c:strRef>
              <c:f>'グラフ(退院阻害要因＿２）'!$M$3</c:f>
              <c:strCache>
                <c:ptCount val="1"/>
                <c:pt idx="0">
                  <c:v>65歳以上</c:v>
                </c:pt>
              </c:strCache>
            </c:strRef>
          </c:tx>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invertIfNegative val="0"/>
          <c:cat>
            <c:strRef>
              <c:f>'グラフ(退院阻害要因＿２）'!$K$4:$K$23</c:f>
              <c:strCache>
                <c:ptCount val="20"/>
                <c:pt idx="0">
                  <c:v>病状は落ち着いているが、ときどき不安定な病状が見られ、そのことが退院を阻害する要因になっている</c:v>
                </c:pt>
                <c:pt idx="1">
                  <c:v>病識がなく通院服薬の中断が予測される</c:v>
                </c:pt>
                <c:pt idx="2">
                  <c:v>反社会的行動が予測される</c:v>
                </c:pt>
                <c:pt idx="3">
                  <c:v>退院意欲が乏しい</c:v>
                </c:pt>
                <c:pt idx="4">
                  <c:v>現実認識が乏しい</c:v>
                </c:pt>
                <c:pt idx="5">
                  <c:v>退院による環境変化への不安が強い</c:v>
                </c:pt>
                <c:pt idx="6">
                  <c:v>援助者との対人関係がもてない</c:v>
                </c:pt>
                <c:pt idx="7">
                  <c:v>家事（食事・洗濯・金銭管理など）ができない</c:v>
                </c:pt>
                <c:pt idx="8">
                  <c:v>家族がいない・本人をサポートする機能が実質ない</c:v>
                </c:pt>
                <c:pt idx="9">
                  <c:v>家族が退院に反対している</c:v>
                </c:pt>
                <c:pt idx="10">
                  <c:v>住まいの確保ができない</c:v>
                </c:pt>
                <c:pt idx="11">
                  <c:v>生活費の確保ができない</c:v>
                </c:pt>
                <c:pt idx="12">
                  <c:v>日常生活を支える制度がない</c:v>
                </c:pt>
                <c:pt idx="13">
                  <c:v>救急診療体制がない</c:v>
                </c:pt>
                <c:pt idx="14">
                  <c:v>退院に向けてサポートする人的資源が乏しい</c:v>
                </c:pt>
                <c:pt idx="15">
                  <c:v>退院後サポート・マネジメントする人的資源が乏しい</c:v>
                </c:pt>
                <c:pt idx="16">
                  <c:v>住所地と入院先の距離があり支援体制がとりにくい</c:v>
                </c:pt>
                <c:pt idx="17">
                  <c:v>身体的機能や状態を原因としたADLの低下がある</c:v>
                </c:pt>
                <c:pt idx="18">
                  <c:v>身体合併症の程度が重いなど身体面のフォローが必要であり、地域での生活が困難</c:v>
                </c:pt>
                <c:pt idx="19">
                  <c:v>その他の退院阻害要因がある</c:v>
                </c:pt>
              </c:strCache>
            </c:strRef>
          </c:cat>
          <c:val>
            <c:numRef>
              <c:f>'グラフ(退院阻害要因＿２）'!$M$4:$M$23</c:f>
              <c:numCache>
                <c:formatCode>0.0%</c:formatCode>
                <c:ptCount val="20"/>
                <c:pt idx="0">
                  <c:v>0.31509121061359868</c:v>
                </c:pt>
                <c:pt idx="1">
                  <c:v>0.29436152570480928</c:v>
                </c:pt>
                <c:pt idx="2">
                  <c:v>2.9021558872305141E-2</c:v>
                </c:pt>
                <c:pt idx="3">
                  <c:v>0.39386401326699833</c:v>
                </c:pt>
                <c:pt idx="4">
                  <c:v>0.4419568822553897</c:v>
                </c:pt>
                <c:pt idx="5">
                  <c:v>0.25290215588723053</c:v>
                </c:pt>
                <c:pt idx="6">
                  <c:v>6.7164179104477612E-2</c:v>
                </c:pt>
                <c:pt idx="7">
                  <c:v>0.36650082918739635</c:v>
                </c:pt>
                <c:pt idx="8">
                  <c:v>0.16086235489220563</c:v>
                </c:pt>
                <c:pt idx="9">
                  <c:v>0.18407960199004975</c:v>
                </c:pt>
                <c:pt idx="10">
                  <c:v>0.33416252072968489</c:v>
                </c:pt>
                <c:pt idx="11">
                  <c:v>7.3797678275290213E-2</c:v>
                </c:pt>
                <c:pt idx="12">
                  <c:v>3.2338308457711441E-2</c:v>
                </c:pt>
                <c:pt idx="13">
                  <c:v>1.658374792703151E-3</c:v>
                </c:pt>
                <c:pt idx="14">
                  <c:v>7.545605306799337E-2</c:v>
                </c:pt>
                <c:pt idx="15">
                  <c:v>6.7164179104477612E-2</c:v>
                </c:pt>
                <c:pt idx="16">
                  <c:v>1.4925373134328358E-2</c:v>
                </c:pt>
                <c:pt idx="17">
                  <c:v>0.19817578772802655</c:v>
                </c:pt>
                <c:pt idx="18">
                  <c:v>0.11691542288557213</c:v>
                </c:pt>
                <c:pt idx="19">
                  <c:v>2.9850746268656716E-2</c:v>
                </c:pt>
              </c:numCache>
            </c:numRef>
          </c:val>
          <c:extLst>
            <c:ext xmlns:c16="http://schemas.microsoft.com/office/drawing/2014/chart" uri="{C3380CC4-5D6E-409C-BE32-E72D297353CC}">
              <c16:uniqueId val="{00000001-937D-4A97-83B7-B58ADA48352F}"/>
            </c:ext>
          </c:extLst>
        </c:ser>
        <c:dLbls>
          <c:showLegendKey val="0"/>
          <c:showVal val="0"/>
          <c:showCatName val="0"/>
          <c:showSerName val="0"/>
          <c:showPercent val="0"/>
          <c:showBubbleSize val="0"/>
        </c:dLbls>
        <c:gapWidth val="100"/>
        <c:axId val="1896483359"/>
        <c:axId val="1896485023"/>
      </c:barChart>
      <c:catAx>
        <c:axId val="1896483359"/>
        <c:scaling>
          <c:orientation val="maxMin"/>
        </c:scaling>
        <c:delete val="0"/>
        <c:axPos val="l"/>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1896485023"/>
        <c:crosses val="autoZero"/>
        <c:auto val="1"/>
        <c:lblAlgn val="ctr"/>
        <c:lblOffset val="100"/>
        <c:tickMarkSkip val="1"/>
        <c:noMultiLvlLbl val="0"/>
      </c:catAx>
      <c:valAx>
        <c:axId val="1896485023"/>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18964833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退院阻害要因（複数回答）</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'グラフ(退院阻害要因＿２）'!$L$47</c:f>
              <c:strCache>
                <c:ptCount val="1"/>
                <c:pt idx="0">
                  <c:v>1年未満</c:v>
                </c:pt>
              </c:strCache>
            </c:strRef>
          </c:tx>
          <c:spPr>
            <a:solidFill>
              <a:schemeClr val="accent5">
                <a:tint val="58000"/>
              </a:schemeClr>
            </a:solidFill>
            <a:ln>
              <a:noFill/>
            </a:ln>
            <a:effectLst/>
          </c:spPr>
          <c:invertIfNegative val="0"/>
          <c:cat>
            <c:strRef>
              <c:f>'グラフ(退院阻害要因＿２）'!$K$48:$K$67</c:f>
              <c:strCache>
                <c:ptCount val="20"/>
                <c:pt idx="0">
                  <c:v>病状は落ち着いているが、ときどき不安定な病状が見られ、そのことが退院を阻害する要因になっている</c:v>
                </c:pt>
                <c:pt idx="1">
                  <c:v>病識がなく通院服薬の中断が予測される</c:v>
                </c:pt>
                <c:pt idx="2">
                  <c:v>反社会的行動が予測される</c:v>
                </c:pt>
                <c:pt idx="3">
                  <c:v>退院意欲が乏しい</c:v>
                </c:pt>
                <c:pt idx="4">
                  <c:v>現実認識が乏しい</c:v>
                </c:pt>
                <c:pt idx="5">
                  <c:v>退院による環境変化への不安が強い</c:v>
                </c:pt>
                <c:pt idx="6">
                  <c:v>援助者との対人関係がもてない</c:v>
                </c:pt>
                <c:pt idx="7">
                  <c:v>家事（食事・洗濯・金銭管理など）ができない</c:v>
                </c:pt>
                <c:pt idx="8">
                  <c:v>家族がいない・本人をサポートする機能が実質ない</c:v>
                </c:pt>
                <c:pt idx="9">
                  <c:v>家族が退院に反対している</c:v>
                </c:pt>
                <c:pt idx="10">
                  <c:v>住まいの確保ができない</c:v>
                </c:pt>
                <c:pt idx="11">
                  <c:v>生活費の確保ができない</c:v>
                </c:pt>
                <c:pt idx="12">
                  <c:v>日常生活を支える制度がない</c:v>
                </c:pt>
                <c:pt idx="13">
                  <c:v>救急診療体制がない</c:v>
                </c:pt>
                <c:pt idx="14">
                  <c:v>退院に向けてサポートする人的資源が乏しい</c:v>
                </c:pt>
                <c:pt idx="15">
                  <c:v>退院後サポート・マネジメントする人的資源が乏しい</c:v>
                </c:pt>
                <c:pt idx="16">
                  <c:v>住所地と入院先の距離があり支援体制がとりにくい</c:v>
                </c:pt>
                <c:pt idx="17">
                  <c:v>身体的機能や状態を原因としたADLの低下がある</c:v>
                </c:pt>
                <c:pt idx="18">
                  <c:v>身体合併症の程度が重いなど身体面のフォローが必要であり、地域での生活が困難</c:v>
                </c:pt>
                <c:pt idx="19">
                  <c:v>その他の退院阻害要因がある</c:v>
                </c:pt>
              </c:strCache>
            </c:strRef>
          </c:cat>
          <c:val>
            <c:numRef>
              <c:f>'グラフ(退院阻害要因＿２）'!$L$48:$L$67</c:f>
              <c:numCache>
                <c:formatCode>0.0%</c:formatCode>
                <c:ptCount val="20"/>
                <c:pt idx="0">
                  <c:v>0.36952998379254459</c:v>
                </c:pt>
                <c:pt idx="1">
                  <c:v>0.27876823338735818</c:v>
                </c:pt>
                <c:pt idx="2">
                  <c:v>4.0518638573743923E-2</c:v>
                </c:pt>
                <c:pt idx="3">
                  <c:v>0.22366288492706646</c:v>
                </c:pt>
                <c:pt idx="4">
                  <c:v>0.39546191247974066</c:v>
                </c:pt>
                <c:pt idx="5">
                  <c:v>0.21231766612641814</c:v>
                </c:pt>
                <c:pt idx="6">
                  <c:v>7.2933549432739053E-2</c:v>
                </c:pt>
                <c:pt idx="7">
                  <c:v>0.32414910858995138</c:v>
                </c:pt>
                <c:pt idx="8">
                  <c:v>0.12479740680713128</c:v>
                </c:pt>
                <c:pt idx="9">
                  <c:v>0.12155591572123177</c:v>
                </c:pt>
                <c:pt idx="10">
                  <c:v>0.39059967585089139</c:v>
                </c:pt>
                <c:pt idx="11">
                  <c:v>6.6450567260940036E-2</c:v>
                </c:pt>
                <c:pt idx="12">
                  <c:v>4.5380875202593193E-2</c:v>
                </c:pt>
                <c:pt idx="13">
                  <c:v>3.2414910858995136E-3</c:v>
                </c:pt>
                <c:pt idx="14">
                  <c:v>9.0761750405186387E-2</c:v>
                </c:pt>
                <c:pt idx="15">
                  <c:v>7.9416531604538085E-2</c:v>
                </c:pt>
                <c:pt idx="16">
                  <c:v>1.9448946515397084E-2</c:v>
                </c:pt>
                <c:pt idx="17">
                  <c:v>0.16369529983792544</c:v>
                </c:pt>
                <c:pt idx="18">
                  <c:v>0.10696920583468396</c:v>
                </c:pt>
                <c:pt idx="19">
                  <c:v>3.4035656401944892E-2</c:v>
                </c:pt>
              </c:numCache>
            </c:numRef>
          </c:val>
          <c:extLst>
            <c:ext xmlns:c16="http://schemas.microsoft.com/office/drawing/2014/chart" uri="{C3380CC4-5D6E-409C-BE32-E72D297353CC}">
              <c16:uniqueId val="{00000000-0152-42E9-876D-48168C644E88}"/>
            </c:ext>
          </c:extLst>
        </c:ser>
        <c:ser>
          <c:idx val="1"/>
          <c:order val="1"/>
          <c:tx>
            <c:strRef>
              <c:f>'グラフ(退院阻害要因＿２）'!$M$47</c:f>
              <c:strCache>
                <c:ptCount val="1"/>
                <c:pt idx="0">
                  <c:v>1年以上5年未満</c:v>
                </c:pt>
              </c:strCache>
            </c:strRef>
          </c:tx>
          <c:spPr>
            <a:solidFill>
              <a:schemeClr val="accent5">
                <a:tint val="86000"/>
              </a:schemeClr>
            </a:solidFill>
            <a:ln>
              <a:noFill/>
            </a:ln>
            <a:effectLst/>
          </c:spPr>
          <c:invertIfNegative val="0"/>
          <c:cat>
            <c:strRef>
              <c:f>'グラフ(退院阻害要因＿２）'!$K$48:$K$67</c:f>
              <c:strCache>
                <c:ptCount val="20"/>
                <c:pt idx="0">
                  <c:v>病状は落ち着いているが、ときどき不安定な病状が見られ、そのことが退院を阻害する要因になっている</c:v>
                </c:pt>
                <c:pt idx="1">
                  <c:v>病識がなく通院服薬の中断が予測される</c:v>
                </c:pt>
                <c:pt idx="2">
                  <c:v>反社会的行動が予測される</c:v>
                </c:pt>
                <c:pt idx="3">
                  <c:v>退院意欲が乏しい</c:v>
                </c:pt>
                <c:pt idx="4">
                  <c:v>現実認識が乏しい</c:v>
                </c:pt>
                <c:pt idx="5">
                  <c:v>退院による環境変化への不安が強い</c:v>
                </c:pt>
                <c:pt idx="6">
                  <c:v>援助者との対人関係がもてない</c:v>
                </c:pt>
                <c:pt idx="7">
                  <c:v>家事（食事・洗濯・金銭管理など）ができない</c:v>
                </c:pt>
                <c:pt idx="8">
                  <c:v>家族がいない・本人をサポートする機能が実質ない</c:v>
                </c:pt>
                <c:pt idx="9">
                  <c:v>家族が退院に反対している</c:v>
                </c:pt>
                <c:pt idx="10">
                  <c:v>住まいの確保ができない</c:v>
                </c:pt>
                <c:pt idx="11">
                  <c:v>生活費の確保ができない</c:v>
                </c:pt>
                <c:pt idx="12">
                  <c:v>日常生活を支える制度がない</c:v>
                </c:pt>
                <c:pt idx="13">
                  <c:v>救急診療体制がない</c:v>
                </c:pt>
                <c:pt idx="14">
                  <c:v>退院に向けてサポートする人的資源が乏しい</c:v>
                </c:pt>
                <c:pt idx="15">
                  <c:v>退院後サポート・マネジメントする人的資源が乏しい</c:v>
                </c:pt>
                <c:pt idx="16">
                  <c:v>住所地と入院先の距離があり支援体制がとりにくい</c:v>
                </c:pt>
                <c:pt idx="17">
                  <c:v>身体的機能や状態を原因としたADLの低下がある</c:v>
                </c:pt>
                <c:pt idx="18">
                  <c:v>身体合併症の程度が重いなど身体面のフォローが必要であり、地域での生活が困難</c:v>
                </c:pt>
                <c:pt idx="19">
                  <c:v>その他の退院阻害要因がある</c:v>
                </c:pt>
              </c:strCache>
            </c:strRef>
          </c:cat>
          <c:val>
            <c:numRef>
              <c:f>'グラフ(退院阻害要因＿２）'!$M$48:$M$67</c:f>
              <c:numCache>
                <c:formatCode>0.0%</c:formatCode>
                <c:ptCount val="20"/>
                <c:pt idx="0">
                  <c:v>0.33707865168539325</c:v>
                </c:pt>
                <c:pt idx="1">
                  <c:v>0.3130016051364366</c:v>
                </c:pt>
                <c:pt idx="2">
                  <c:v>5.2969502407704656E-2</c:v>
                </c:pt>
                <c:pt idx="3">
                  <c:v>0.39486356340288925</c:v>
                </c:pt>
                <c:pt idx="4">
                  <c:v>0.42857142857142855</c:v>
                </c:pt>
                <c:pt idx="5">
                  <c:v>0.27287319422150885</c:v>
                </c:pt>
                <c:pt idx="6">
                  <c:v>8.8282504012841087E-2</c:v>
                </c:pt>
                <c:pt idx="7">
                  <c:v>0.3467094703049759</c:v>
                </c:pt>
                <c:pt idx="8">
                  <c:v>0.16051364365971107</c:v>
                </c:pt>
                <c:pt idx="9">
                  <c:v>0.19743178170144463</c:v>
                </c:pt>
                <c:pt idx="10">
                  <c:v>0.34831460674157305</c:v>
                </c:pt>
                <c:pt idx="11">
                  <c:v>7.3836276083467101E-2</c:v>
                </c:pt>
                <c:pt idx="12">
                  <c:v>4.0128410914927769E-2</c:v>
                </c:pt>
                <c:pt idx="13">
                  <c:v>4.815409309791332E-3</c:v>
                </c:pt>
                <c:pt idx="14">
                  <c:v>8.3467094703049763E-2</c:v>
                </c:pt>
                <c:pt idx="15">
                  <c:v>6.4205457463884424E-2</c:v>
                </c:pt>
                <c:pt idx="16">
                  <c:v>1.1235955056179775E-2</c:v>
                </c:pt>
                <c:pt idx="17">
                  <c:v>0.1653290529695024</c:v>
                </c:pt>
                <c:pt idx="18">
                  <c:v>7.7046548956661312E-2</c:v>
                </c:pt>
                <c:pt idx="19">
                  <c:v>2.8892455858747994E-2</c:v>
                </c:pt>
              </c:numCache>
            </c:numRef>
          </c:val>
          <c:extLst>
            <c:ext xmlns:c16="http://schemas.microsoft.com/office/drawing/2014/chart" uri="{C3380CC4-5D6E-409C-BE32-E72D297353CC}">
              <c16:uniqueId val="{00000001-0152-42E9-876D-48168C644E88}"/>
            </c:ext>
          </c:extLst>
        </c:ser>
        <c:ser>
          <c:idx val="2"/>
          <c:order val="2"/>
          <c:tx>
            <c:strRef>
              <c:f>'グラフ(退院阻害要因＿２）'!$N$47</c:f>
              <c:strCache>
                <c:ptCount val="1"/>
                <c:pt idx="0">
                  <c:v>5年以上10年未満</c:v>
                </c:pt>
              </c:strCache>
            </c:strRef>
          </c:tx>
          <c:spPr>
            <a:solidFill>
              <a:schemeClr val="accent5">
                <a:shade val="86000"/>
              </a:schemeClr>
            </a:solidFill>
            <a:ln>
              <a:noFill/>
            </a:ln>
            <a:effectLst/>
          </c:spPr>
          <c:invertIfNegative val="0"/>
          <c:cat>
            <c:strRef>
              <c:f>'グラフ(退院阻害要因＿２）'!$K$48:$K$67</c:f>
              <c:strCache>
                <c:ptCount val="20"/>
                <c:pt idx="0">
                  <c:v>病状は落ち着いているが、ときどき不安定な病状が見られ、そのことが退院を阻害する要因になっている</c:v>
                </c:pt>
                <c:pt idx="1">
                  <c:v>病識がなく通院服薬の中断が予測される</c:v>
                </c:pt>
                <c:pt idx="2">
                  <c:v>反社会的行動が予測される</c:v>
                </c:pt>
                <c:pt idx="3">
                  <c:v>退院意欲が乏しい</c:v>
                </c:pt>
                <c:pt idx="4">
                  <c:v>現実認識が乏しい</c:v>
                </c:pt>
                <c:pt idx="5">
                  <c:v>退院による環境変化への不安が強い</c:v>
                </c:pt>
                <c:pt idx="6">
                  <c:v>援助者との対人関係がもてない</c:v>
                </c:pt>
                <c:pt idx="7">
                  <c:v>家事（食事・洗濯・金銭管理など）ができない</c:v>
                </c:pt>
                <c:pt idx="8">
                  <c:v>家族がいない・本人をサポートする機能が実質ない</c:v>
                </c:pt>
                <c:pt idx="9">
                  <c:v>家族が退院に反対している</c:v>
                </c:pt>
                <c:pt idx="10">
                  <c:v>住まいの確保ができない</c:v>
                </c:pt>
                <c:pt idx="11">
                  <c:v>生活費の確保ができない</c:v>
                </c:pt>
                <c:pt idx="12">
                  <c:v>日常生活を支える制度がない</c:v>
                </c:pt>
                <c:pt idx="13">
                  <c:v>救急診療体制がない</c:v>
                </c:pt>
                <c:pt idx="14">
                  <c:v>退院に向けてサポートする人的資源が乏しい</c:v>
                </c:pt>
                <c:pt idx="15">
                  <c:v>退院後サポート・マネジメントする人的資源が乏しい</c:v>
                </c:pt>
                <c:pt idx="16">
                  <c:v>住所地と入院先の距離があり支援体制がとりにくい</c:v>
                </c:pt>
                <c:pt idx="17">
                  <c:v>身体的機能や状態を原因としたADLの低下がある</c:v>
                </c:pt>
                <c:pt idx="18">
                  <c:v>身体合併症の程度が重いなど身体面のフォローが必要であり、地域での生活が困難</c:v>
                </c:pt>
                <c:pt idx="19">
                  <c:v>その他の退院阻害要因がある</c:v>
                </c:pt>
              </c:strCache>
            </c:strRef>
          </c:cat>
          <c:val>
            <c:numRef>
              <c:f>'グラフ(退院阻害要因＿２）'!$N$48:$N$67</c:f>
              <c:numCache>
                <c:formatCode>0.0%</c:formatCode>
                <c:ptCount val="20"/>
                <c:pt idx="0">
                  <c:v>0.43396226415094341</c:v>
                </c:pt>
                <c:pt idx="1">
                  <c:v>0.35094339622641507</c:v>
                </c:pt>
                <c:pt idx="2">
                  <c:v>7.5471698113207544E-2</c:v>
                </c:pt>
                <c:pt idx="3">
                  <c:v>0.43773584905660379</c:v>
                </c:pt>
                <c:pt idx="4">
                  <c:v>0.46037735849056605</c:v>
                </c:pt>
                <c:pt idx="5">
                  <c:v>0.3471698113207547</c:v>
                </c:pt>
                <c:pt idx="6">
                  <c:v>7.1698113207547168E-2</c:v>
                </c:pt>
                <c:pt idx="7">
                  <c:v>0.39622641509433965</c:v>
                </c:pt>
                <c:pt idx="8">
                  <c:v>0.17735849056603772</c:v>
                </c:pt>
                <c:pt idx="9">
                  <c:v>0.25283018867924528</c:v>
                </c:pt>
                <c:pt idx="10">
                  <c:v>0.25660377358490566</c:v>
                </c:pt>
                <c:pt idx="11">
                  <c:v>7.9245283018867921E-2</c:v>
                </c:pt>
                <c:pt idx="12">
                  <c:v>2.6415094339622643E-2</c:v>
                </c:pt>
                <c:pt idx="13">
                  <c:v>3.7735849056603774E-3</c:v>
                </c:pt>
                <c:pt idx="14">
                  <c:v>6.7924528301886791E-2</c:v>
                </c:pt>
                <c:pt idx="15">
                  <c:v>7.9245283018867921E-2</c:v>
                </c:pt>
                <c:pt idx="16">
                  <c:v>1.8867924528301886E-2</c:v>
                </c:pt>
                <c:pt idx="17">
                  <c:v>0.15471698113207547</c:v>
                </c:pt>
                <c:pt idx="18">
                  <c:v>9.4339622641509441E-2</c:v>
                </c:pt>
                <c:pt idx="19">
                  <c:v>1.8867924528301886E-2</c:v>
                </c:pt>
              </c:numCache>
            </c:numRef>
          </c:val>
          <c:extLst>
            <c:ext xmlns:c16="http://schemas.microsoft.com/office/drawing/2014/chart" uri="{C3380CC4-5D6E-409C-BE32-E72D297353CC}">
              <c16:uniqueId val="{00000002-0152-42E9-876D-48168C644E88}"/>
            </c:ext>
          </c:extLst>
        </c:ser>
        <c:ser>
          <c:idx val="3"/>
          <c:order val="3"/>
          <c:tx>
            <c:strRef>
              <c:f>'グラフ(退院阻害要因＿２）'!$O$47</c:f>
              <c:strCache>
                <c:ptCount val="1"/>
                <c:pt idx="0">
                  <c:v>10年以上</c:v>
                </c:pt>
              </c:strCache>
            </c:strRef>
          </c:tx>
          <c:spPr>
            <a:solidFill>
              <a:schemeClr val="accent5">
                <a:shade val="58000"/>
              </a:schemeClr>
            </a:solidFill>
            <a:ln>
              <a:noFill/>
            </a:ln>
            <a:effectLst/>
          </c:spPr>
          <c:invertIfNegative val="0"/>
          <c:cat>
            <c:strRef>
              <c:f>'グラフ(退院阻害要因＿２）'!$K$48:$K$67</c:f>
              <c:strCache>
                <c:ptCount val="20"/>
                <c:pt idx="0">
                  <c:v>病状は落ち着いているが、ときどき不安定な病状が見られ、そのことが退院を阻害する要因になっている</c:v>
                </c:pt>
                <c:pt idx="1">
                  <c:v>病識がなく通院服薬の中断が予測される</c:v>
                </c:pt>
                <c:pt idx="2">
                  <c:v>反社会的行動が予測される</c:v>
                </c:pt>
                <c:pt idx="3">
                  <c:v>退院意欲が乏しい</c:v>
                </c:pt>
                <c:pt idx="4">
                  <c:v>現実認識が乏しい</c:v>
                </c:pt>
                <c:pt idx="5">
                  <c:v>退院による環境変化への不安が強い</c:v>
                </c:pt>
                <c:pt idx="6">
                  <c:v>援助者との対人関係がもてない</c:v>
                </c:pt>
                <c:pt idx="7">
                  <c:v>家事（食事・洗濯・金銭管理など）ができない</c:v>
                </c:pt>
                <c:pt idx="8">
                  <c:v>家族がいない・本人をサポートする機能が実質ない</c:v>
                </c:pt>
                <c:pt idx="9">
                  <c:v>家族が退院に反対している</c:v>
                </c:pt>
                <c:pt idx="10">
                  <c:v>住まいの確保ができない</c:v>
                </c:pt>
                <c:pt idx="11">
                  <c:v>生活費の確保ができない</c:v>
                </c:pt>
                <c:pt idx="12">
                  <c:v>日常生活を支える制度がない</c:v>
                </c:pt>
                <c:pt idx="13">
                  <c:v>救急診療体制がない</c:v>
                </c:pt>
                <c:pt idx="14">
                  <c:v>退院に向けてサポートする人的資源が乏しい</c:v>
                </c:pt>
                <c:pt idx="15">
                  <c:v>退院後サポート・マネジメントする人的資源が乏しい</c:v>
                </c:pt>
                <c:pt idx="16">
                  <c:v>住所地と入院先の距離があり支援体制がとりにくい</c:v>
                </c:pt>
                <c:pt idx="17">
                  <c:v>身体的機能や状態を原因としたADLの低下がある</c:v>
                </c:pt>
                <c:pt idx="18">
                  <c:v>身体合併症の程度が重いなど身体面のフォローが必要であり、地域での生活が困難</c:v>
                </c:pt>
                <c:pt idx="19">
                  <c:v>その他の退院阻害要因がある</c:v>
                </c:pt>
              </c:strCache>
            </c:strRef>
          </c:cat>
          <c:val>
            <c:numRef>
              <c:f>'グラフ(退院阻害要因＿２）'!$O$48:$O$67</c:f>
              <c:numCache>
                <c:formatCode>0.0%</c:formatCode>
                <c:ptCount val="20"/>
                <c:pt idx="0">
                  <c:v>0.3611111111111111</c:v>
                </c:pt>
                <c:pt idx="1">
                  <c:v>0.33950617283950618</c:v>
                </c:pt>
                <c:pt idx="2">
                  <c:v>4.0123456790123455E-2</c:v>
                </c:pt>
                <c:pt idx="3">
                  <c:v>0.54629629629629628</c:v>
                </c:pt>
                <c:pt idx="4">
                  <c:v>0.53395061728395066</c:v>
                </c:pt>
                <c:pt idx="5">
                  <c:v>0.35802469135802467</c:v>
                </c:pt>
                <c:pt idx="6">
                  <c:v>0.1388888888888889</c:v>
                </c:pt>
                <c:pt idx="7">
                  <c:v>0.37962962962962965</c:v>
                </c:pt>
                <c:pt idx="8">
                  <c:v>0.2191358024691358</c:v>
                </c:pt>
                <c:pt idx="9">
                  <c:v>0.23765432098765432</c:v>
                </c:pt>
                <c:pt idx="10">
                  <c:v>0.24382716049382716</c:v>
                </c:pt>
                <c:pt idx="11">
                  <c:v>4.0123456790123455E-2</c:v>
                </c:pt>
                <c:pt idx="12">
                  <c:v>3.0864197530864196E-2</c:v>
                </c:pt>
                <c:pt idx="13">
                  <c:v>0</c:v>
                </c:pt>
                <c:pt idx="14">
                  <c:v>7.098765432098765E-2</c:v>
                </c:pt>
                <c:pt idx="15">
                  <c:v>6.4814814814814811E-2</c:v>
                </c:pt>
                <c:pt idx="16">
                  <c:v>1.2345679012345678E-2</c:v>
                </c:pt>
                <c:pt idx="17">
                  <c:v>0.15432098765432098</c:v>
                </c:pt>
                <c:pt idx="18">
                  <c:v>0.10493827160493827</c:v>
                </c:pt>
                <c:pt idx="19">
                  <c:v>1.8518518518518517E-2</c:v>
                </c:pt>
              </c:numCache>
            </c:numRef>
          </c:val>
          <c:extLst>
            <c:ext xmlns:c16="http://schemas.microsoft.com/office/drawing/2014/chart" uri="{C3380CC4-5D6E-409C-BE32-E72D297353CC}">
              <c16:uniqueId val="{00000003-0152-42E9-876D-48168C644E88}"/>
            </c:ext>
          </c:extLst>
        </c:ser>
        <c:dLbls>
          <c:showLegendKey val="0"/>
          <c:showVal val="0"/>
          <c:showCatName val="0"/>
          <c:showSerName val="0"/>
          <c:showPercent val="0"/>
          <c:showBubbleSize val="0"/>
        </c:dLbls>
        <c:gapWidth val="182"/>
        <c:axId val="1977369407"/>
        <c:axId val="1977377727"/>
      </c:barChart>
      <c:catAx>
        <c:axId val="197736940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77377727"/>
        <c:crosses val="autoZero"/>
        <c:auto val="1"/>
        <c:lblAlgn val="ctr"/>
        <c:lblOffset val="100"/>
        <c:noMultiLvlLbl val="0"/>
      </c:catAx>
      <c:valAx>
        <c:axId val="1977377727"/>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773694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ja-JP"/>
              <a:t>退院阻害要因</a:t>
            </a:r>
            <a:r>
              <a:rPr lang="en-US" altLang="ja-JP"/>
              <a:t>_</a:t>
            </a:r>
            <a:r>
              <a:rPr lang="ja-JP" altLang="en-US"/>
              <a:t>寛解・院内寛解</a:t>
            </a:r>
            <a:r>
              <a:rPr lang="ja-JP"/>
              <a:t>（複数回答）</a:t>
            </a:r>
          </a:p>
        </c:rich>
      </c:tx>
      <c:layout>
        <c:manualLayout>
          <c:xMode val="edge"/>
          <c:yMode val="edge"/>
          <c:x val="0.25397944100006864"/>
          <c:y val="4.7142134634455676E-3"/>
        </c:manualLayout>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ja-JP"/>
        </a:p>
      </c:txPr>
    </c:title>
    <c:autoTitleDeleted val="0"/>
    <c:plotArea>
      <c:layout>
        <c:manualLayout>
          <c:layoutTarget val="inner"/>
          <c:xMode val="edge"/>
          <c:yMode val="edge"/>
          <c:x val="0.5006108611423572"/>
          <c:y val="8.7115148450480392E-2"/>
          <c:w val="0.45619237924329531"/>
          <c:h val="0.85802993089166602"/>
        </c:manualLayout>
      </c:layout>
      <c:barChart>
        <c:barDir val="bar"/>
        <c:grouping val="clustered"/>
        <c:varyColors val="0"/>
        <c:ser>
          <c:idx val="0"/>
          <c:order val="0"/>
          <c:tx>
            <c:strRef>
              <c:f>'グラフ(退院阻害要因＿２(寛解・院内寛解)'!$L$3</c:f>
              <c:strCache>
                <c:ptCount val="1"/>
                <c:pt idx="0">
                  <c:v>65歳未満</c:v>
                </c:pt>
              </c:strCache>
            </c:strRef>
          </c:tx>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invertIfNegative val="0"/>
          <c:cat>
            <c:strRef>
              <c:f>'グラフ(退院阻害要因＿２(寛解・院内寛解)'!$K$4:$K$23</c:f>
              <c:strCache>
                <c:ptCount val="20"/>
                <c:pt idx="0">
                  <c:v>病状は落ち着いているが、ときどき不安定な病状が見られ、そのことが退院を阻害する要因になっている</c:v>
                </c:pt>
                <c:pt idx="1">
                  <c:v>病識がなく通院服薬の中断が予測される</c:v>
                </c:pt>
                <c:pt idx="2">
                  <c:v>反社会的行動が予測される</c:v>
                </c:pt>
                <c:pt idx="3">
                  <c:v>退院意欲が乏しい</c:v>
                </c:pt>
                <c:pt idx="4">
                  <c:v>現実認識が乏しい</c:v>
                </c:pt>
                <c:pt idx="5">
                  <c:v>退院による環境変化への不安が強い</c:v>
                </c:pt>
                <c:pt idx="6">
                  <c:v>援助者との対人関係がもてない</c:v>
                </c:pt>
                <c:pt idx="7">
                  <c:v>家事（食事・洗濯・金銭管理など）ができない</c:v>
                </c:pt>
                <c:pt idx="8">
                  <c:v>家族がいない・本人をサポートする機能が実質ない</c:v>
                </c:pt>
                <c:pt idx="9">
                  <c:v>家族が退院に反対している</c:v>
                </c:pt>
                <c:pt idx="10">
                  <c:v>住まいの確保ができない</c:v>
                </c:pt>
                <c:pt idx="11">
                  <c:v>生活費の確保ができない</c:v>
                </c:pt>
                <c:pt idx="12">
                  <c:v>日常生活を支える制度がない</c:v>
                </c:pt>
                <c:pt idx="13">
                  <c:v>救急診療体制がない</c:v>
                </c:pt>
                <c:pt idx="14">
                  <c:v>退院に向けてサポートする人的資源が乏しい</c:v>
                </c:pt>
                <c:pt idx="15">
                  <c:v>退院後サポート・マネジメントする人的資源が乏しい</c:v>
                </c:pt>
                <c:pt idx="16">
                  <c:v>住所地と入院先の距離があり支援体制がとりにくい</c:v>
                </c:pt>
                <c:pt idx="17">
                  <c:v>身体的機能や状態を原因としたADLの低下がある</c:v>
                </c:pt>
                <c:pt idx="18">
                  <c:v>身体合併症の程度が重いなど身体面のフォローが必要であり、地域での生活が困難</c:v>
                </c:pt>
                <c:pt idx="19">
                  <c:v>その他の退院阻害要因がある</c:v>
                </c:pt>
              </c:strCache>
            </c:strRef>
          </c:cat>
          <c:val>
            <c:numRef>
              <c:f>'グラフ(退院阻害要因＿２(寛解・院内寛解)'!$L$4:$L$23</c:f>
              <c:numCache>
                <c:formatCode>0.0%</c:formatCode>
                <c:ptCount val="20"/>
                <c:pt idx="0">
                  <c:v>0.3858695652173913</c:v>
                </c:pt>
                <c:pt idx="1">
                  <c:v>0.24456521739130435</c:v>
                </c:pt>
                <c:pt idx="2">
                  <c:v>6.5217391304347824E-2</c:v>
                </c:pt>
                <c:pt idx="3">
                  <c:v>0.29891304347826086</c:v>
                </c:pt>
                <c:pt idx="4">
                  <c:v>0.30978260869565216</c:v>
                </c:pt>
                <c:pt idx="5">
                  <c:v>0.28804347826086957</c:v>
                </c:pt>
                <c:pt idx="6">
                  <c:v>0.10869565217391304</c:v>
                </c:pt>
                <c:pt idx="7">
                  <c:v>0.20652173913043478</c:v>
                </c:pt>
                <c:pt idx="8">
                  <c:v>0.125</c:v>
                </c:pt>
                <c:pt idx="9">
                  <c:v>0.22826086956521738</c:v>
                </c:pt>
                <c:pt idx="10">
                  <c:v>0.29347826086956524</c:v>
                </c:pt>
                <c:pt idx="11">
                  <c:v>4.8913043478260872E-2</c:v>
                </c:pt>
                <c:pt idx="12">
                  <c:v>5.9782608695652176E-2</c:v>
                </c:pt>
                <c:pt idx="13">
                  <c:v>5.434782608695652E-3</c:v>
                </c:pt>
                <c:pt idx="14">
                  <c:v>8.1521739130434784E-2</c:v>
                </c:pt>
                <c:pt idx="15">
                  <c:v>9.7826086956521743E-2</c:v>
                </c:pt>
                <c:pt idx="16">
                  <c:v>3.2608695652173912E-2</c:v>
                </c:pt>
                <c:pt idx="17">
                  <c:v>3.8043478260869568E-2</c:v>
                </c:pt>
                <c:pt idx="18">
                  <c:v>3.2608695652173912E-2</c:v>
                </c:pt>
                <c:pt idx="19">
                  <c:v>3.2608695652173912E-2</c:v>
                </c:pt>
              </c:numCache>
            </c:numRef>
          </c:val>
          <c:extLst>
            <c:ext xmlns:c16="http://schemas.microsoft.com/office/drawing/2014/chart" uri="{C3380CC4-5D6E-409C-BE32-E72D297353CC}">
              <c16:uniqueId val="{00000000-91A3-4E72-B886-296587B68515}"/>
            </c:ext>
          </c:extLst>
        </c:ser>
        <c:ser>
          <c:idx val="1"/>
          <c:order val="1"/>
          <c:tx>
            <c:strRef>
              <c:f>'グラフ(退院阻害要因＿２(寛解・院内寛解)'!$M$3</c:f>
              <c:strCache>
                <c:ptCount val="1"/>
                <c:pt idx="0">
                  <c:v>65歳以上</c:v>
                </c:pt>
              </c:strCache>
            </c:strRef>
          </c:tx>
          <c:spPr>
            <a:gradFill rotWithShape="1">
              <a:gsLst>
                <a:gs pos="0">
                  <a:schemeClr val="accent4">
                    <a:tint val="50000"/>
                    <a:satMod val="300000"/>
                  </a:schemeClr>
                </a:gs>
                <a:gs pos="35000">
                  <a:schemeClr val="accent4">
                    <a:tint val="37000"/>
                    <a:satMod val="300000"/>
                  </a:schemeClr>
                </a:gs>
                <a:gs pos="100000">
                  <a:schemeClr val="accent4">
                    <a:tint val="15000"/>
                    <a:satMod val="350000"/>
                  </a:schemeClr>
                </a:gs>
              </a:gsLst>
              <a:lin ang="16200000" scaled="1"/>
            </a:gradFill>
            <a:ln w="9525" cap="flat" cmpd="sng" algn="ctr">
              <a:solidFill>
                <a:schemeClr val="accent4">
                  <a:shade val="95000"/>
                </a:schemeClr>
              </a:solidFill>
              <a:round/>
            </a:ln>
            <a:effectLst>
              <a:outerShdw blurRad="40000" dist="20000" dir="5400000" rotWithShape="0">
                <a:srgbClr val="000000">
                  <a:alpha val="38000"/>
                </a:srgbClr>
              </a:outerShdw>
            </a:effectLst>
          </c:spPr>
          <c:invertIfNegative val="0"/>
          <c:cat>
            <c:strRef>
              <c:f>'グラフ(退院阻害要因＿２(寛解・院内寛解)'!$K$4:$K$23</c:f>
              <c:strCache>
                <c:ptCount val="20"/>
                <c:pt idx="0">
                  <c:v>病状は落ち着いているが、ときどき不安定な病状が見られ、そのことが退院を阻害する要因になっている</c:v>
                </c:pt>
                <c:pt idx="1">
                  <c:v>病識がなく通院服薬の中断が予測される</c:v>
                </c:pt>
                <c:pt idx="2">
                  <c:v>反社会的行動が予測される</c:v>
                </c:pt>
                <c:pt idx="3">
                  <c:v>退院意欲が乏しい</c:v>
                </c:pt>
                <c:pt idx="4">
                  <c:v>現実認識が乏しい</c:v>
                </c:pt>
                <c:pt idx="5">
                  <c:v>退院による環境変化への不安が強い</c:v>
                </c:pt>
                <c:pt idx="6">
                  <c:v>援助者との対人関係がもてない</c:v>
                </c:pt>
                <c:pt idx="7">
                  <c:v>家事（食事・洗濯・金銭管理など）ができない</c:v>
                </c:pt>
                <c:pt idx="8">
                  <c:v>家族がいない・本人をサポートする機能が実質ない</c:v>
                </c:pt>
                <c:pt idx="9">
                  <c:v>家族が退院に反対している</c:v>
                </c:pt>
                <c:pt idx="10">
                  <c:v>住まいの確保ができない</c:v>
                </c:pt>
                <c:pt idx="11">
                  <c:v>生活費の確保ができない</c:v>
                </c:pt>
                <c:pt idx="12">
                  <c:v>日常生活を支える制度がない</c:v>
                </c:pt>
                <c:pt idx="13">
                  <c:v>救急診療体制がない</c:v>
                </c:pt>
                <c:pt idx="14">
                  <c:v>退院に向けてサポートする人的資源が乏しい</c:v>
                </c:pt>
                <c:pt idx="15">
                  <c:v>退院後サポート・マネジメントする人的資源が乏しい</c:v>
                </c:pt>
                <c:pt idx="16">
                  <c:v>住所地と入院先の距離があり支援体制がとりにくい</c:v>
                </c:pt>
                <c:pt idx="17">
                  <c:v>身体的機能や状態を原因としたADLの低下がある</c:v>
                </c:pt>
                <c:pt idx="18">
                  <c:v>身体合併症の程度が重いなど身体面のフォローが必要であり、地域での生活が困難</c:v>
                </c:pt>
                <c:pt idx="19">
                  <c:v>その他の退院阻害要因がある</c:v>
                </c:pt>
              </c:strCache>
            </c:strRef>
          </c:cat>
          <c:val>
            <c:numRef>
              <c:f>'グラフ(退院阻害要因＿２(寛解・院内寛解)'!$M$4:$M$23</c:f>
              <c:numCache>
                <c:formatCode>0.0%</c:formatCode>
                <c:ptCount val="20"/>
                <c:pt idx="0">
                  <c:v>0.19736842105263158</c:v>
                </c:pt>
                <c:pt idx="1">
                  <c:v>0.19078947368421054</c:v>
                </c:pt>
                <c:pt idx="2">
                  <c:v>2.9605263157894735E-2</c:v>
                </c:pt>
                <c:pt idx="3">
                  <c:v>0.41118421052631576</c:v>
                </c:pt>
                <c:pt idx="4">
                  <c:v>0.30592105263157893</c:v>
                </c:pt>
                <c:pt idx="5">
                  <c:v>0.25</c:v>
                </c:pt>
                <c:pt idx="6">
                  <c:v>5.921052631578947E-2</c:v>
                </c:pt>
                <c:pt idx="7">
                  <c:v>0.29605263157894735</c:v>
                </c:pt>
                <c:pt idx="8">
                  <c:v>0.15789473684210525</c:v>
                </c:pt>
                <c:pt idx="9">
                  <c:v>0.25</c:v>
                </c:pt>
                <c:pt idx="10">
                  <c:v>0.30263157894736842</c:v>
                </c:pt>
                <c:pt idx="11">
                  <c:v>5.2631578947368418E-2</c:v>
                </c:pt>
                <c:pt idx="12">
                  <c:v>3.9473684210526314E-2</c:v>
                </c:pt>
                <c:pt idx="13">
                  <c:v>0</c:v>
                </c:pt>
                <c:pt idx="14">
                  <c:v>8.5526315789473686E-2</c:v>
                </c:pt>
                <c:pt idx="15">
                  <c:v>8.2236842105263164E-2</c:v>
                </c:pt>
                <c:pt idx="16">
                  <c:v>1.3157894736842105E-2</c:v>
                </c:pt>
                <c:pt idx="17">
                  <c:v>9.2105263157894732E-2</c:v>
                </c:pt>
                <c:pt idx="18">
                  <c:v>5.5921052631578948E-2</c:v>
                </c:pt>
                <c:pt idx="19">
                  <c:v>3.9473684210526314E-2</c:v>
                </c:pt>
              </c:numCache>
            </c:numRef>
          </c:val>
          <c:extLst>
            <c:ext xmlns:c16="http://schemas.microsoft.com/office/drawing/2014/chart" uri="{C3380CC4-5D6E-409C-BE32-E72D297353CC}">
              <c16:uniqueId val="{00000001-91A3-4E72-B886-296587B68515}"/>
            </c:ext>
          </c:extLst>
        </c:ser>
        <c:dLbls>
          <c:showLegendKey val="0"/>
          <c:showVal val="0"/>
          <c:showCatName val="0"/>
          <c:showSerName val="0"/>
          <c:showPercent val="0"/>
          <c:showBubbleSize val="0"/>
        </c:dLbls>
        <c:gapWidth val="100"/>
        <c:axId val="1896483359"/>
        <c:axId val="1896485023"/>
      </c:barChart>
      <c:catAx>
        <c:axId val="1896483359"/>
        <c:scaling>
          <c:orientation val="maxMin"/>
        </c:scaling>
        <c:delete val="0"/>
        <c:axPos val="l"/>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1896485023"/>
        <c:crosses val="autoZero"/>
        <c:auto val="1"/>
        <c:lblAlgn val="ctr"/>
        <c:lblOffset val="100"/>
        <c:tickMarkSkip val="1"/>
        <c:noMultiLvlLbl val="0"/>
      </c:catAx>
      <c:valAx>
        <c:axId val="1896485023"/>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18964833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退院阻害要因</a:t>
            </a:r>
            <a:r>
              <a:rPr lang="en-US" altLang="ja-JP"/>
              <a:t>_</a:t>
            </a:r>
            <a:r>
              <a:rPr lang="ja-JP" altLang="en-US"/>
              <a:t>寛解・院内寛解</a:t>
            </a:r>
            <a:r>
              <a:rPr lang="ja-JP"/>
              <a:t>（複数回答）</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'グラフ(退院阻害要因＿２(寛解・院内寛解)'!$L$47</c:f>
              <c:strCache>
                <c:ptCount val="1"/>
                <c:pt idx="0">
                  <c:v>1年未満</c:v>
                </c:pt>
              </c:strCache>
            </c:strRef>
          </c:tx>
          <c:spPr>
            <a:solidFill>
              <a:schemeClr val="accent4">
                <a:tint val="58000"/>
              </a:schemeClr>
            </a:solidFill>
            <a:ln>
              <a:noFill/>
            </a:ln>
            <a:effectLst/>
          </c:spPr>
          <c:invertIfNegative val="0"/>
          <c:cat>
            <c:strRef>
              <c:f>'グラフ(退院阻害要因＿２(寛解・院内寛解)'!$K$48:$K$67</c:f>
              <c:strCache>
                <c:ptCount val="20"/>
                <c:pt idx="0">
                  <c:v>病状は落ち着いているが、ときどき不安定な病状が見られ、そのことが退院を阻害する要因になっている</c:v>
                </c:pt>
                <c:pt idx="1">
                  <c:v>病識がなく通院服薬の中断が予測される</c:v>
                </c:pt>
                <c:pt idx="2">
                  <c:v>反社会的行動が予測される</c:v>
                </c:pt>
                <c:pt idx="3">
                  <c:v>退院意欲が乏しい</c:v>
                </c:pt>
                <c:pt idx="4">
                  <c:v>現実認識が乏しい</c:v>
                </c:pt>
                <c:pt idx="5">
                  <c:v>退院による環境変化への不安が強い</c:v>
                </c:pt>
                <c:pt idx="6">
                  <c:v>援助者との対人関係がもてない</c:v>
                </c:pt>
                <c:pt idx="7">
                  <c:v>家事（食事・洗濯・金銭管理など）ができない</c:v>
                </c:pt>
                <c:pt idx="8">
                  <c:v>家族がいない・本人をサポートする機能が実質ない</c:v>
                </c:pt>
                <c:pt idx="9">
                  <c:v>家族が退院に反対している</c:v>
                </c:pt>
                <c:pt idx="10">
                  <c:v>住まいの確保ができない</c:v>
                </c:pt>
                <c:pt idx="11">
                  <c:v>生活費の確保ができない</c:v>
                </c:pt>
                <c:pt idx="12">
                  <c:v>日常生活を支える制度がない</c:v>
                </c:pt>
                <c:pt idx="13">
                  <c:v>救急診療体制がない</c:v>
                </c:pt>
                <c:pt idx="14">
                  <c:v>退院に向けてサポートする人的資源が乏しい</c:v>
                </c:pt>
                <c:pt idx="15">
                  <c:v>退院後サポート・マネジメントする人的資源が乏しい</c:v>
                </c:pt>
                <c:pt idx="16">
                  <c:v>住所地と入院先の距離があり支援体制がとりにくい</c:v>
                </c:pt>
                <c:pt idx="17">
                  <c:v>身体的機能や状態を原因としたADLの低下がある</c:v>
                </c:pt>
                <c:pt idx="18">
                  <c:v>身体合併症の程度が重いなど身体面のフォローが必要であり、地域での生活が困難</c:v>
                </c:pt>
                <c:pt idx="19">
                  <c:v>その他の退院阻害要因がある</c:v>
                </c:pt>
              </c:strCache>
            </c:strRef>
          </c:cat>
          <c:val>
            <c:numRef>
              <c:f>'グラフ(退院阻害要因＿２(寛解・院内寛解)'!$L$48:$L$67</c:f>
              <c:numCache>
                <c:formatCode>0.0%</c:formatCode>
                <c:ptCount val="20"/>
                <c:pt idx="0">
                  <c:v>0.24038461538461539</c:v>
                </c:pt>
                <c:pt idx="1">
                  <c:v>0.21153846153846154</c:v>
                </c:pt>
                <c:pt idx="2">
                  <c:v>2.8846153846153848E-2</c:v>
                </c:pt>
                <c:pt idx="3">
                  <c:v>0.19230769230769232</c:v>
                </c:pt>
                <c:pt idx="4">
                  <c:v>0.3125</c:v>
                </c:pt>
                <c:pt idx="5">
                  <c:v>0.16346153846153846</c:v>
                </c:pt>
                <c:pt idx="6">
                  <c:v>6.25E-2</c:v>
                </c:pt>
                <c:pt idx="7">
                  <c:v>0.26442307692307693</c:v>
                </c:pt>
                <c:pt idx="8">
                  <c:v>0.10576923076923077</c:v>
                </c:pt>
                <c:pt idx="9">
                  <c:v>0.18269230769230768</c:v>
                </c:pt>
                <c:pt idx="10">
                  <c:v>0.36538461538461536</c:v>
                </c:pt>
                <c:pt idx="11">
                  <c:v>2.8846153846153848E-2</c:v>
                </c:pt>
                <c:pt idx="12">
                  <c:v>6.25E-2</c:v>
                </c:pt>
                <c:pt idx="13">
                  <c:v>0</c:v>
                </c:pt>
                <c:pt idx="14">
                  <c:v>9.6153846153846159E-2</c:v>
                </c:pt>
                <c:pt idx="15">
                  <c:v>9.6153846153846159E-2</c:v>
                </c:pt>
                <c:pt idx="16">
                  <c:v>2.8846153846153848E-2</c:v>
                </c:pt>
                <c:pt idx="17">
                  <c:v>9.6153846153846159E-2</c:v>
                </c:pt>
                <c:pt idx="18">
                  <c:v>9.1346153846153841E-2</c:v>
                </c:pt>
                <c:pt idx="19">
                  <c:v>4.807692307692308E-2</c:v>
                </c:pt>
              </c:numCache>
            </c:numRef>
          </c:val>
          <c:extLst>
            <c:ext xmlns:c16="http://schemas.microsoft.com/office/drawing/2014/chart" uri="{C3380CC4-5D6E-409C-BE32-E72D297353CC}">
              <c16:uniqueId val="{00000000-DDE7-4C0B-8A11-2A397413132B}"/>
            </c:ext>
          </c:extLst>
        </c:ser>
        <c:ser>
          <c:idx val="1"/>
          <c:order val="1"/>
          <c:tx>
            <c:strRef>
              <c:f>'グラフ(退院阻害要因＿２(寛解・院内寛解)'!$M$47</c:f>
              <c:strCache>
                <c:ptCount val="1"/>
                <c:pt idx="0">
                  <c:v>1年以上5年未満</c:v>
                </c:pt>
              </c:strCache>
            </c:strRef>
          </c:tx>
          <c:spPr>
            <a:solidFill>
              <a:schemeClr val="accent4">
                <a:tint val="86000"/>
              </a:schemeClr>
            </a:solidFill>
            <a:ln>
              <a:noFill/>
            </a:ln>
            <a:effectLst/>
          </c:spPr>
          <c:invertIfNegative val="0"/>
          <c:cat>
            <c:strRef>
              <c:f>'グラフ(退院阻害要因＿２(寛解・院内寛解)'!$K$48:$K$67</c:f>
              <c:strCache>
                <c:ptCount val="20"/>
                <c:pt idx="0">
                  <c:v>病状は落ち着いているが、ときどき不安定な病状が見られ、そのことが退院を阻害する要因になっている</c:v>
                </c:pt>
                <c:pt idx="1">
                  <c:v>病識がなく通院服薬の中断が予測される</c:v>
                </c:pt>
                <c:pt idx="2">
                  <c:v>反社会的行動が予測される</c:v>
                </c:pt>
                <c:pt idx="3">
                  <c:v>退院意欲が乏しい</c:v>
                </c:pt>
                <c:pt idx="4">
                  <c:v>現実認識が乏しい</c:v>
                </c:pt>
                <c:pt idx="5">
                  <c:v>退院による環境変化への不安が強い</c:v>
                </c:pt>
                <c:pt idx="6">
                  <c:v>援助者との対人関係がもてない</c:v>
                </c:pt>
                <c:pt idx="7">
                  <c:v>家事（食事・洗濯・金銭管理など）ができない</c:v>
                </c:pt>
                <c:pt idx="8">
                  <c:v>家族がいない・本人をサポートする機能が実質ない</c:v>
                </c:pt>
                <c:pt idx="9">
                  <c:v>家族が退院に反対している</c:v>
                </c:pt>
                <c:pt idx="10">
                  <c:v>住まいの確保ができない</c:v>
                </c:pt>
                <c:pt idx="11">
                  <c:v>生活費の確保ができない</c:v>
                </c:pt>
                <c:pt idx="12">
                  <c:v>日常生活を支える制度がない</c:v>
                </c:pt>
                <c:pt idx="13">
                  <c:v>救急診療体制がない</c:v>
                </c:pt>
                <c:pt idx="14">
                  <c:v>退院に向けてサポートする人的資源が乏しい</c:v>
                </c:pt>
                <c:pt idx="15">
                  <c:v>退院後サポート・マネジメントする人的資源が乏しい</c:v>
                </c:pt>
                <c:pt idx="16">
                  <c:v>住所地と入院先の距離があり支援体制がとりにくい</c:v>
                </c:pt>
                <c:pt idx="17">
                  <c:v>身体的機能や状態を原因としたADLの低下がある</c:v>
                </c:pt>
                <c:pt idx="18">
                  <c:v>身体合併症の程度が重いなど身体面のフォローが必要であり、地域での生活が困難</c:v>
                </c:pt>
                <c:pt idx="19">
                  <c:v>その他の退院阻害要因がある</c:v>
                </c:pt>
              </c:strCache>
            </c:strRef>
          </c:cat>
          <c:val>
            <c:numRef>
              <c:f>'グラフ(退院阻害要因＿２(寛解・院内寛解)'!$M$48:$M$67</c:f>
              <c:numCache>
                <c:formatCode>0.0%</c:formatCode>
                <c:ptCount val="20"/>
                <c:pt idx="0">
                  <c:v>0.23376623376623376</c:v>
                </c:pt>
                <c:pt idx="1">
                  <c:v>0.22727272727272727</c:v>
                </c:pt>
                <c:pt idx="2">
                  <c:v>4.5454545454545456E-2</c:v>
                </c:pt>
                <c:pt idx="3">
                  <c:v>0.46103896103896103</c:v>
                </c:pt>
                <c:pt idx="4">
                  <c:v>0.24675324675324675</c:v>
                </c:pt>
                <c:pt idx="5">
                  <c:v>0.2792207792207792</c:v>
                </c:pt>
                <c:pt idx="6">
                  <c:v>9.0909090909090912E-2</c:v>
                </c:pt>
                <c:pt idx="7">
                  <c:v>0.23376623376623376</c:v>
                </c:pt>
                <c:pt idx="8">
                  <c:v>0.19480519480519481</c:v>
                </c:pt>
                <c:pt idx="9">
                  <c:v>0.22077922077922077</c:v>
                </c:pt>
                <c:pt idx="10">
                  <c:v>0.2857142857142857</c:v>
                </c:pt>
                <c:pt idx="11">
                  <c:v>6.4935064935064929E-2</c:v>
                </c:pt>
                <c:pt idx="12">
                  <c:v>3.896103896103896E-2</c:v>
                </c:pt>
                <c:pt idx="13">
                  <c:v>6.4935064935064939E-3</c:v>
                </c:pt>
                <c:pt idx="14">
                  <c:v>9.7402597402597407E-2</c:v>
                </c:pt>
                <c:pt idx="15">
                  <c:v>7.1428571428571425E-2</c:v>
                </c:pt>
                <c:pt idx="16">
                  <c:v>1.2987012987012988E-2</c:v>
                </c:pt>
                <c:pt idx="17">
                  <c:v>5.844155844155844E-2</c:v>
                </c:pt>
                <c:pt idx="18">
                  <c:v>6.4935064935064939E-3</c:v>
                </c:pt>
                <c:pt idx="19">
                  <c:v>3.2467532467532464E-2</c:v>
                </c:pt>
              </c:numCache>
            </c:numRef>
          </c:val>
          <c:extLst>
            <c:ext xmlns:c16="http://schemas.microsoft.com/office/drawing/2014/chart" uri="{C3380CC4-5D6E-409C-BE32-E72D297353CC}">
              <c16:uniqueId val="{00000001-DDE7-4C0B-8A11-2A397413132B}"/>
            </c:ext>
          </c:extLst>
        </c:ser>
        <c:ser>
          <c:idx val="2"/>
          <c:order val="2"/>
          <c:tx>
            <c:strRef>
              <c:f>'グラフ(退院阻害要因＿２(寛解・院内寛解)'!$N$47</c:f>
              <c:strCache>
                <c:ptCount val="1"/>
                <c:pt idx="0">
                  <c:v>5年以上10年未満</c:v>
                </c:pt>
              </c:strCache>
            </c:strRef>
          </c:tx>
          <c:spPr>
            <a:solidFill>
              <a:schemeClr val="accent4">
                <a:shade val="86000"/>
              </a:schemeClr>
            </a:solidFill>
            <a:ln>
              <a:noFill/>
            </a:ln>
            <a:effectLst/>
          </c:spPr>
          <c:invertIfNegative val="0"/>
          <c:cat>
            <c:strRef>
              <c:f>'グラフ(退院阻害要因＿２(寛解・院内寛解)'!$K$48:$K$67</c:f>
              <c:strCache>
                <c:ptCount val="20"/>
                <c:pt idx="0">
                  <c:v>病状は落ち着いているが、ときどき不安定な病状が見られ、そのことが退院を阻害する要因になっている</c:v>
                </c:pt>
                <c:pt idx="1">
                  <c:v>病識がなく通院服薬の中断が予測される</c:v>
                </c:pt>
                <c:pt idx="2">
                  <c:v>反社会的行動が予測される</c:v>
                </c:pt>
                <c:pt idx="3">
                  <c:v>退院意欲が乏しい</c:v>
                </c:pt>
                <c:pt idx="4">
                  <c:v>現実認識が乏しい</c:v>
                </c:pt>
                <c:pt idx="5">
                  <c:v>退院による環境変化への不安が強い</c:v>
                </c:pt>
                <c:pt idx="6">
                  <c:v>援助者との対人関係がもてない</c:v>
                </c:pt>
                <c:pt idx="7">
                  <c:v>家事（食事・洗濯・金銭管理など）ができない</c:v>
                </c:pt>
                <c:pt idx="8">
                  <c:v>家族がいない・本人をサポートする機能が実質ない</c:v>
                </c:pt>
                <c:pt idx="9">
                  <c:v>家族が退院に反対している</c:v>
                </c:pt>
                <c:pt idx="10">
                  <c:v>住まいの確保ができない</c:v>
                </c:pt>
                <c:pt idx="11">
                  <c:v>生活費の確保ができない</c:v>
                </c:pt>
                <c:pt idx="12">
                  <c:v>日常生活を支える制度がない</c:v>
                </c:pt>
                <c:pt idx="13">
                  <c:v>救急診療体制がない</c:v>
                </c:pt>
                <c:pt idx="14">
                  <c:v>退院に向けてサポートする人的資源が乏しい</c:v>
                </c:pt>
                <c:pt idx="15">
                  <c:v>退院後サポート・マネジメントする人的資源が乏しい</c:v>
                </c:pt>
                <c:pt idx="16">
                  <c:v>住所地と入院先の距離があり支援体制がとりにくい</c:v>
                </c:pt>
                <c:pt idx="17">
                  <c:v>身体的機能や状態を原因としたADLの低下がある</c:v>
                </c:pt>
                <c:pt idx="18">
                  <c:v>身体合併症の程度が重いなど身体面のフォローが必要であり、地域での生活が困難</c:v>
                </c:pt>
                <c:pt idx="19">
                  <c:v>その他の退院阻害要因がある</c:v>
                </c:pt>
              </c:strCache>
            </c:strRef>
          </c:cat>
          <c:val>
            <c:numRef>
              <c:f>'グラフ(退院阻害要因＿２(寛解・院内寛解)'!$N$48:$N$67</c:f>
              <c:numCache>
                <c:formatCode>0.0%</c:formatCode>
                <c:ptCount val="20"/>
                <c:pt idx="0">
                  <c:v>0.42857142857142855</c:v>
                </c:pt>
                <c:pt idx="1">
                  <c:v>0.20634920634920634</c:v>
                </c:pt>
                <c:pt idx="2">
                  <c:v>9.5238095238095233E-2</c:v>
                </c:pt>
                <c:pt idx="3">
                  <c:v>0.5714285714285714</c:v>
                </c:pt>
                <c:pt idx="4">
                  <c:v>0.34920634920634919</c:v>
                </c:pt>
                <c:pt idx="5">
                  <c:v>0.41269841269841268</c:v>
                </c:pt>
                <c:pt idx="6">
                  <c:v>9.5238095238095233E-2</c:v>
                </c:pt>
                <c:pt idx="7">
                  <c:v>0.34920634920634919</c:v>
                </c:pt>
                <c:pt idx="8">
                  <c:v>0.15873015873015872</c:v>
                </c:pt>
                <c:pt idx="9">
                  <c:v>0.3968253968253968</c:v>
                </c:pt>
                <c:pt idx="10">
                  <c:v>0.22222222222222221</c:v>
                </c:pt>
                <c:pt idx="11">
                  <c:v>0.1111111111111111</c:v>
                </c:pt>
                <c:pt idx="12">
                  <c:v>4.7619047619047616E-2</c:v>
                </c:pt>
                <c:pt idx="13">
                  <c:v>0</c:v>
                </c:pt>
                <c:pt idx="14">
                  <c:v>4.7619047619047616E-2</c:v>
                </c:pt>
                <c:pt idx="15">
                  <c:v>0.12698412698412698</c:v>
                </c:pt>
                <c:pt idx="16">
                  <c:v>3.1746031746031744E-2</c:v>
                </c:pt>
                <c:pt idx="17">
                  <c:v>4.7619047619047616E-2</c:v>
                </c:pt>
                <c:pt idx="18">
                  <c:v>0</c:v>
                </c:pt>
                <c:pt idx="19">
                  <c:v>1.5873015873015872E-2</c:v>
                </c:pt>
              </c:numCache>
            </c:numRef>
          </c:val>
          <c:extLst>
            <c:ext xmlns:c16="http://schemas.microsoft.com/office/drawing/2014/chart" uri="{C3380CC4-5D6E-409C-BE32-E72D297353CC}">
              <c16:uniqueId val="{00000002-DDE7-4C0B-8A11-2A397413132B}"/>
            </c:ext>
          </c:extLst>
        </c:ser>
        <c:ser>
          <c:idx val="3"/>
          <c:order val="3"/>
          <c:tx>
            <c:strRef>
              <c:f>'グラフ(退院阻害要因＿２(寛解・院内寛解)'!$O$47</c:f>
              <c:strCache>
                <c:ptCount val="1"/>
                <c:pt idx="0">
                  <c:v>10年以上</c:v>
                </c:pt>
              </c:strCache>
            </c:strRef>
          </c:tx>
          <c:spPr>
            <a:solidFill>
              <a:schemeClr val="accent4">
                <a:shade val="58000"/>
              </a:schemeClr>
            </a:solidFill>
            <a:ln>
              <a:noFill/>
            </a:ln>
            <a:effectLst/>
          </c:spPr>
          <c:invertIfNegative val="0"/>
          <c:cat>
            <c:strRef>
              <c:f>'グラフ(退院阻害要因＿２(寛解・院内寛解)'!$K$48:$K$67</c:f>
              <c:strCache>
                <c:ptCount val="20"/>
                <c:pt idx="0">
                  <c:v>病状は落ち着いているが、ときどき不安定な病状が見られ、そのことが退院を阻害する要因になっている</c:v>
                </c:pt>
                <c:pt idx="1">
                  <c:v>病識がなく通院服薬の中断が予測される</c:v>
                </c:pt>
                <c:pt idx="2">
                  <c:v>反社会的行動が予測される</c:v>
                </c:pt>
                <c:pt idx="3">
                  <c:v>退院意欲が乏しい</c:v>
                </c:pt>
                <c:pt idx="4">
                  <c:v>現実認識が乏しい</c:v>
                </c:pt>
                <c:pt idx="5">
                  <c:v>退院による環境変化への不安が強い</c:v>
                </c:pt>
                <c:pt idx="6">
                  <c:v>援助者との対人関係がもてない</c:v>
                </c:pt>
                <c:pt idx="7">
                  <c:v>家事（食事・洗濯・金銭管理など）ができない</c:v>
                </c:pt>
                <c:pt idx="8">
                  <c:v>家族がいない・本人をサポートする機能が実質ない</c:v>
                </c:pt>
                <c:pt idx="9">
                  <c:v>家族が退院に反対している</c:v>
                </c:pt>
                <c:pt idx="10">
                  <c:v>住まいの確保ができない</c:v>
                </c:pt>
                <c:pt idx="11">
                  <c:v>生活費の確保ができない</c:v>
                </c:pt>
                <c:pt idx="12">
                  <c:v>日常生活を支える制度がない</c:v>
                </c:pt>
                <c:pt idx="13">
                  <c:v>救急診療体制がない</c:v>
                </c:pt>
                <c:pt idx="14">
                  <c:v>退院に向けてサポートする人的資源が乏しい</c:v>
                </c:pt>
                <c:pt idx="15">
                  <c:v>退院後サポート・マネジメントする人的資源が乏しい</c:v>
                </c:pt>
                <c:pt idx="16">
                  <c:v>住所地と入院先の距離があり支援体制がとりにくい</c:v>
                </c:pt>
                <c:pt idx="17">
                  <c:v>身体的機能や状態を原因としたADLの低下がある</c:v>
                </c:pt>
                <c:pt idx="18">
                  <c:v>身体合併症の程度が重いなど身体面のフォローが必要であり、地域での生活が困難</c:v>
                </c:pt>
                <c:pt idx="19">
                  <c:v>その他の退院阻害要因がある</c:v>
                </c:pt>
              </c:strCache>
            </c:strRef>
          </c:cat>
          <c:val>
            <c:numRef>
              <c:f>'グラフ(退院阻害要因＿２(寛解・院内寛解)'!$O$48:$O$67</c:f>
              <c:numCache>
                <c:formatCode>0.0%</c:formatCode>
                <c:ptCount val="20"/>
                <c:pt idx="0">
                  <c:v>0.2857142857142857</c:v>
                </c:pt>
                <c:pt idx="1">
                  <c:v>0.17460317460317459</c:v>
                </c:pt>
                <c:pt idx="2">
                  <c:v>3.1746031746031744E-2</c:v>
                </c:pt>
                <c:pt idx="3">
                  <c:v>0.52380952380952384</c:v>
                </c:pt>
                <c:pt idx="4">
                  <c:v>0.3968253968253968</c:v>
                </c:pt>
                <c:pt idx="5">
                  <c:v>0.41269841269841268</c:v>
                </c:pt>
                <c:pt idx="6">
                  <c:v>7.9365079365079361E-2</c:v>
                </c:pt>
                <c:pt idx="7">
                  <c:v>0.23809523809523808</c:v>
                </c:pt>
                <c:pt idx="8">
                  <c:v>0.14285714285714285</c:v>
                </c:pt>
                <c:pt idx="9">
                  <c:v>0.33333333333333331</c:v>
                </c:pt>
                <c:pt idx="10">
                  <c:v>0.19047619047619047</c:v>
                </c:pt>
                <c:pt idx="11">
                  <c:v>3.1746031746031744E-2</c:v>
                </c:pt>
                <c:pt idx="12">
                  <c:v>1.5873015873015872E-2</c:v>
                </c:pt>
                <c:pt idx="13">
                  <c:v>0</c:v>
                </c:pt>
                <c:pt idx="14">
                  <c:v>4.7619047619047616E-2</c:v>
                </c:pt>
                <c:pt idx="15">
                  <c:v>6.3492063492063489E-2</c:v>
                </c:pt>
                <c:pt idx="16">
                  <c:v>0</c:v>
                </c:pt>
                <c:pt idx="17">
                  <c:v>4.7619047619047616E-2</c:v>
                </c:pt>
                <c:pt idx="18">
                  <c:v>4.7619047619047616E-2</c:v>
                </c:pt>
                <c:pt idx="19">
                  <c:v>3.1746031746031744E-2</c:v>
                </c:pt>
              </c:numCache>
            </c:numRef>
          </c:val>
          <c:extLst>
            <c:ext xmlns:c16="http://schemas.microsoft.com/office/drawing/2014/chart" uri="{C3380CC4-5D6E-409C-BE32-E72D297353CC}">
              <c16:uniqueId val="{00000003-DDE7-4C0B-8A11-2A397413132B}"/>
            </c:ext>
          </c:extLst>
        </c:ser>
        <c:dLbls>
          <c:showLegendKey val="0"/>
          <c:showVal val="0"/>
          <c:showCatName val="0"/>
          <c:showSerName val="0"/>
          <c:showPercent val="0"/>
          <c:showBubbleSize val="0"/>
        </c:dLbls>
        <c:gapWidth val="182"/>
        <c:axId val="1977369407"/>
        <c:axId val="1977377727"/>
      </c:barChart>
      <c:catAx>
        <c:axId val="197736940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77377727"/>
        <c:crosses val="autoZero"/>
        <c:auto val="1"/>
        <c:lblAlgn val="ctr"/>
        <c:lblOffset val="100"/>
        <c:noMultiLvlLbl val="0"/>
      </c:catAx>
      <c:valAx>
        <c:axId val="1977377727"/>
        <c:scaling>
          <c:orientation val="minMax"/>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773694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メイリオ" panose="020B0604030504040204" pitchFamily="50" charset="-128"/>
                <a:ea typeface="メイリオ" panose="020B0604030504040204" pitchFamily="50" charset="-128"/>
                <a:cs typeface="+mn-cs"/>
              </a:defRPr>
            </a:pPr>
            <a:r>
              <a:rPr lang="en-US" altLang="ja-JP" sz="1200" b="1">
                <a:latin typeface="メイリオ" panose="020B0604030504040204" pitchFamily="50" charset="-128"/>
                <a:ea typeface="メイリオ" panose="020B0604030504040204" pitchFamily="50" charset="-128"/>
              </a:rPr>
              <a:t>1</a:t>
            </a:r>
            <a:r>
              <a:rPr lang="ja-JP" altLang="en-US" sz="1200" b="1">
                <a:latin typeface="メイリオ" panose="020B0604030504040204" pitchFamily="50" charset="-128"/>
                <a:ea typeface="メイリオ" panose="020B0604030504040204" pitchFamily="50" charset="-128"/>
              </a:rPr>
              <a:t>年以上</a:t>
            </a:r>
            <a:endParaRPr lang="ja-JP" sz="1200" b="1">
              <a:latin typeface="メイリオ" panose="020B0604030504040204" pitchFamily="50" charset="-128"/>
              <a:ea typeface="メイリオ" panose="020B0604030504040204" pitchFamily="50" charset="-128"/>
            </a:endParaRPr>
          </a:p>
        </c:rich>
      </c:tx>
      <c:layout>
        <c:manualLayout>
          <c:xMode val="edge"/>
          <c:yMode val="edge"/>
          <c:x val="0.38648181712605029"/>
          <c:y val="4.2469178077610917E-3"/>
        </c:manualLayout>
      </c:layout>
      <c:overlay val="0"/>
      <c:spPr>
        <a:noFill/>
        <a:ln>
          <a:noFill/>
        </a:ln>
        <a:effectLst/>
      </c:spPr>
      <c:txPr>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メイリオ" panose="020B0604030504040204" pitchFamily="50" charset="-128"/>
              <a:ea typeface="メイリオ" panose="020B0604030504040204" pitchFamily="50" charset="-128"/>
              <a:cs typeface="+mn-cs"/>
            </a:defRPr>
          </a:pPr>
          <a:endParaRPr lang="ja-JP"/>
        </a:p>
      </c:txPr>
    </c:title>
    <c:autoTitleDeleted val="0"/>
    <c:plotArea>
      <c:layout/>
      <c:pieChart>
        <c:varyColors val="1"/>
        <c:ser>
          <c:idx val="0"/>
          <c:order val="0"/>
          <c:tx>
            <c:strRef>
              <c:f>'グラフ(年齢区分）'!$N$24</c:f>
              <c:strCache>
                <c:ptCount val="1"/>
                <c:pt idx="0">
                  <c:v>全体</c:v>
                </c:pt>
              </c:strCache>
            </c:strRef>
          </c:tx>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87C4-4E19-A588-C1D6E6E8F937}"/>
              </c:ext>
            </c:extLst>
          </c:dPt>
          <c:dPt>
            <c:idx val="1"/>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87C4-4E19-A588-C1D6E6E8F937}"/>
              </c:ext>
            </c:extLst>
          </c:dPt>
          <c:dPt>
            <c:idx val="2"/>
            <c:bubble3D val="0"/>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5-87C4-4E19-A588-C1D6E6E8F937}"/>
              </c:ext>
            </c:extLst>
          </c:dPt>
          <c:dPt>
            <c:idx val="3"/>
            <c:bubble3D val="0"/>
            <c:spPr>
              <a:gradFill rotWithShape="1">
                <a:gsLst>
                  <a:gs pos="0">
                    <a:schemeClr val="accent4">
                      <a:tint val="50000"/>
                      <a:satMod val="300000"/>
                    </a:schemeClr>
                  </a:gs>
                  <a:gs pos="35000">
                    <a:schemeClr val="accent4">
                      <a:tint val="37000"/>
                      <a:satMod val="300000"/>
                    </a:schemeClr>
                  </a:gs>
                  <a:gs pos="100000">
                    <a:schemeClr val="accent4">
                      <a:tint val="15000"/>
                      <a:satMod val="350000"/>
                    </a:schemeClr>
                  </a:gs>
                </a:gsLst>
                <a:lin ang="16200000" scaled="1"/>
              </a:gradFill>
              <a:ln w="9525" cap="flat" cmpd="sng" algn="ctr">
                <a:solidFill>
                  <a:schemeClr val="accent4">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7-87C4-4E19-A588-C1D6E6E8F937}"/>
              </c:ext>
            </c:extLst>
          </c:dPt>
          <c:dPt>
            <c:idx val="4"/>
            <c:bubble3D val="0"/>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9-87C4-4E19-A588-C1D6E6E8F937}"/>
              </c:ext>
            </c:extLst>
          </c:dPt>
          <c:dPt>
            <c:idx val="5"/>
            <c:bubble3D val="0"/>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9525" cap="flat" cmpd="sng" algn="ctr">
                <a:solidFill>
                  <a:schemeClr val="accent6">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B-87C4-4E19-A588-C1D6E6E8F937}"/>
              </c:ext>
            </c:extLst>
          </c:dPt>
          <c:dPt>
            <c:idx val="6"/>
            <c:bubble3D val="0"/>
            <c:spPr>
              <a:gradFill rotWithShape="1">
                <a:gsLst>
                  <a:gs pos="0">
                    <a:schemeClr val="accent1">
                      <a:lumMod val="60000"/>
                      <a:tint val="50000"/>
                      <a:satMod val="300000"/>
                    </a:schemeClr>
                  </a:gs>
                  <a:gs pos="35000">
                    <a:schemeClr val="accent1">
                      <a:lumMod val="60000"/>
                      <a:tint val="37000"/>
                      <a:satMod val="300000"/>
                    </a:schemeClr>
                  </a:gs>
                  <a:gs pos="100000">
                    <a:schemeClr val="accent1">
                      <a:lumMod val="60000"/>
                      <a:tint val="15000"/>
                      <a:satMod val="350000"/>
                    </a:schemeClr>
                  </a:gs>
                </a:gsLst>
                <a:lin ang="16200000" scaled="1"/>
              </a:gradFill>
              <a:ln w="9525" cap="flat" cmpd="sng" algn="ctr">
                <a:solidFill>
                  <a:schemeClr val="accent1">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D-87C4-4E19-A588-C1D6E6E8F937}"/>
              </c:ext>
            </c:extLst>
          </c:dPt>
          <c:dPt>
            <c:idx val="7"/>
            <c:bubble3D val="0"/>
            <c:spPr>
              <a:gradFill rotWithShape="1">
                <a:gsLst>
                  <a:gs pos="0">
                    <a:schemeClr val="accent2">
                      <a:lumMod val="60000"/>
                      <a:tint val="50000"/>
                      <a:satMod val="300000"/>
                    </a:schemeClr>
                  </a:gs>
                  <a:gs pos="35000">
                    <a:schemeClr val="accent2">
                      <a:lumMod val="60000"/>
                      <a:tint val="37000"/>
                      <a:satMod val="300000"/>
                    </a:schemeClr>
                  </a:gs>
                  <a:gs pos="100000">
                    <a:schemeClr val="accent2">
                      <a:lumMod val="60000"/>
                      <a:tint val="15000"/>
                      <a:satMod val="350000"/>
                    </a:schemeClr>
                  </a:gs>
                </a:gsLst>
                <a:lin ang="16200000" scaled="1"/>
              </a:gradFill>
              <a:ln w="9525" cap="flat" cmpd="sng" algn="ctr">
                <a:solidFill>
                  <a:schemeClr val="accent2">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F-87C4-4E19-A588-C1D6E6E8F937}"/>
              </c:ext>
            </c:extLst>
          </c:dPt>
          <c:dPt>
            <c:idx val="8"/>
            <c:bubble3D val="0"/>
            <c:spPr>
              <a:gradFill rotWithShape="1">
                <a:gsLst>
                  <a:gs pos="0">
                    <a:schemeClr val="accent3">
                      <a:lumMod val="60000"/>
                      <a:tint val="50000"/>
                      <a:satMod val="300000"/>
                    </a:schemeClr>
                  </a:gs>
                  <a:gs pos="35000">
                    <a:schemeClr val="accent3">
                      <a:lumMod val="60000"/>
                      <a:tint val="37000"/>
                      <a:satMod val="300000"/>
                    </a:schemeClr>
                  </a:gs>
                  <a:gs pos="100000">
                    <a:schemeClr val="accent3">
                      <a:lumMod val="60000"/>
                      <a:tint val="15000"/>
                      <a:satMod val="350000"/>
                    </a:schemeClr>
                  </a:gs>
                </a:gsLst>
                <a:lin ang="16200000" scaled="1"/>
              </a:gradFill>
              <a:ln w="9525" cap="flat" cmpd="sng" algn="ctr">
                <a:solidFill>
                  <a:schemeClr val="accent3">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1-87C4-4E19-A588-C1D6E6E8F937}"/>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dLblPos val="bestFit"/>
            <c:showLegendKey val="0"/>
            <c:showVal val="1"/>
            <c:showCatName val="1"/>
            <c:showSerName val="0"/>
            <c:showPercent val="1"/>
            <c:showBubbleSize val="0"/>
            <c:separator>
</c:separator>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'グラフ(年齢区分）'!$M$25:$M$33</c:f>
              <c:strCache>
                <c:ptCount val="9"/>
                <c:pt idx="0">
                  <c:v>19歳以下</c:v>
                </c:pt>
                <c:pt idx="1">
                  <c:v>20歳代</c:v>
                </c:pt>
                <c:pt idx="2">
                  <c:v>30歳代</c:v>
                </c:pt>
                <c:pt idx="3">
                  <c:v>40歳代</c:v>
                </c:pt>
                <c:pt idx="4">
                  <c:v>50歳代</c:v>
                </c:pt>
                <c:pt idx="5">
                  <c:v>60歳代</c:v>
                </c:pt>
                <c:pt idx="6">
                  <c:v>70歳代</c:v>
                </c:pt>
                <c:pt idx="7">
                  <c:v>80歳代</c:v>
                </c:pt>
                <c:pt idx="8">
                  <c:v>90歳以上</c:v>
                </c:pt>
              </c:strCache>
            </c:strRef>
          </c:cat>
          <c:val>
            <c:numRef>
              <c:f>'グラフ(年齢区分）'!$N$25:$N$33</c:f>
              <c:numCache>
                <c:formatCode>#,##0"人"</c:formatCode>
                <c:ptCount val="9"/>
                <c:pt idx="0">
                  <c:v>6</c:v>
                </c:pt>
                <c:pt idx="1">
                  <c:v>48</c:v>
                </c:pt>
                <c:pt idx="2">
                  <c:v>224</c:v>
                </c:pt>
                <c:pt idx="3">
                  <c:v>653</c:v>
                </c:pt>
                <c:pt idx="4">
                  <c:v>1501</c:v>
                </c:pt>
                <c:pt idx="5">
                  <c:v>1664</c:v>
                </c:pt>
                <c:pt idx="6">
                  <c:v>2394</c:v>
                </c:pt>
                <c:pt idx="7">
                  <c:v>1812</c:v>
                </c:pt>
                <c:pt idx="8">
                  <c:v>462</c:v>
                </c:pt>
              </c:numCache>
            </c:numRef>
          </c:val>
          <c:extLst>
            <c:ext xmlns:c16="http://schemas.microsoft.com/office/drawing/2014/chart" uri="{C3380CC4-5D6E-409C-BE32-E72D297353CC}">
              <c16:uniqueId val="{00000012-87C4-4E19-A588-C1D6E6E8F937}"/>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メイリオ" panose="020B0604030504040204" pitchFamily="50" charset="-128"/>
                <a:ea typeface="メイリオ" panose="020B0604030504040204" pitchFamily="50" charset="-128"/>
                <a:cs typeface="+mn-cs"/>
              </a:defRPr>
            </a:pPr>
            <a:r>
              <a:rPr lang="en-US" altLang="ja-JP" sz="1200" b="1">
                <a:latin typeface="メイリオ" panose="020B0604030504040204" pitchFamily="50" charset="-128"/>
                <a:ea typeface="メイリオ" panose="020B0604030504040204" pitchFamily="50" charset="-128"/>
              </a:rPr>
              <a:t>1</a:t>
            </a:r>
            <a:r>
              <a:rPr lang="ja-JP" altLang="en-US" sz="1200" b="1">
                <a:latin typeface="メイリオ" panose="020B0604030504040204" pitchFamily="50" charset="-128"/>
                <a:ea typeface="メイリオ" panose="020B0604030504040204" pitchFamily="50" charset="-128"/>
              </a:rPr>
              <a:t>年以上＿寛解・院内寛解群</a:t>
            </a:r>
            <a:endParaRPr lang="ja-JP" sz="1200" b="1">
              <a:latin typeface="メイリオ" panose="020B0604030504040204" pitchFamily="50" charset="-128"/>
              <a:ea typeface="メイリオ" panose="020B0604030504040204" pitchFamily="50" charset="-128"/>
            </a:endParaRPr>
          </a:p>
        </c:rich>
      </c:tx>
      <c:layout>
        <c:manualLayout>
          <c:xMode val="edge"/>
          <c:yMode val="edge"/>
          <c:x val="0.14308928157393586"/>
          <c:y val="4.2469178077610917E-3"/>
        </c:manualLayout>
      </c:layout>
      <c:overlay val="0"/>
      <c:spPr>
        <a:noFill/>
        <a:ln>
          <a:noFill/>
        </a:ln>
        <a:effectLst/>
      </c:spPr>
      <c:txPr>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メイリオ" panose="020B0604030504040204" pitchFamily="50" charset="-128"/>
              <a:ea typeface="メイリオ" panose="020B0604030504040204" pitchFamily="50" charset="-128"/>
              <a:cs typeface="+mn-cs"/>
            </a:defRPr>
          </a:pPr>
          <a:endParaRPr lang="ja-JP"/>
        </a:p>
      </c:txPr>
    </c:title>
    <c:autoTitleDeleted val="0"/>
    <c:plotArea>
      <c:layout/>
      <c:pieChart>
        <c:varyColors val="1"/>
        <c:ser>
          <c:idx val="2"/>
          <c:order val="0"/>
          <c:tx>
            <c:strRef>
              <c:f>'グラフ(年齢区分）'!$Q$24</c:f>
              <c:strCache>
                <c:ptCount val="1"/>
                <c:pt idx="0">
                  <c:v>寛解院内寛解合計</c:v>
                </c:pt>
              </c:strCache>
            </c:strRef>
          </c:tx>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87D7-4ED7-B8D5-2FA851AD94E9}"/>
              </c:ext>
            </c:extLst>
          </c:dPt>
          <c:dPt>
            <c:idx val="1"/>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7-251C-4F2A-979C-971E5018C526}"/>
              </c:ext>
            </c:extLst>
          </c:dPt>
          <c:dPt>
            <c:idx val="2"/>
            <c:bubble3D val="0"/>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6-251C-4F2A-979C-971E5018C526}"/>
              </c:ext>
            </c:extLst>
          </c:dPt>
          <c:dPt>
            <c:idx val="3"/>
            <c:bubble3D val="0"/>
            <c:spPr>
              <a:gradFill rotWithShape="1">
                <a:gsLst>
                  <a:gs pos="0">
                    <a:schemeClr val="accent4">
                      <a:tint val="50000"/>
                      <a:satMod val="300000"/>
                    </a:schemeClr>
                  </a:gs>
                  <a:gs pos="35000">
                    <a:schemeClr val="accent4">
                      <a:tint val="37000"/>
                      <a:satMod val="300000"/>
                    </a:schemeClr>
                  </a:gs>
                  <a:gs pos="100000">
                    <a:schemeClr val="accent4">
                      <a:tint val="15000"/>
                      <a:satMod val="350000"/>
                    </a:schemeClr>
                  </a:gs>
                </a:gsLst>
                <a:lin ang="16200000" scaled="1"/>
              </a:gradFill>
              <a:ln w="9525" cap="flat" cmpd="sng" algn="ctr">
                <a:solidFill>
                  <a:schemeClr val="accent4">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7-87D7-4ED7-B8D5-2FA851AD94E9}"/>
              </c:ext>
            </c:extLst>
          </c:dPt>
          <c:dPt>
            <c:idx val="4"/>
            <c:bubble3D val="0"/>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9-87D7-4ED7-B8D5-2FA851AD94E9}"/>
              </c:ext>
            </c:extLst>
          </c:dPt>
          <c:dPt>
            <c:idx val="5"/>
            <c:bubble3D val="0"/>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9525" cap="flat" cmpd="sng" algn="ctr">
                <a:solidFill>
                  <a:schemeClr val="accent6">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B-87D7-4ED7-B8D5-2FA851AD94E9}"/>
              </c:ext>
            </c:extLst>
          </c:dPt>
          <c:dPt>
            <c:idx val="6"/>
            <c:bubble3D val="0"/>
            <c:spPr>
              <a:gradFill rotWithShape="1">
                <a:gsLst>
                  <a:gs pos="0">
                    <a:schemeClr val="accent1">
                      <a:lumMod val="60000"/>
                      <a:tint val="50000"/>
                      <a:satMod val="300000"/>
                    </a:schemeClr>
                  </a:gs>
                  <a:gs pos="35000">
                    <a:schemeClr val="accent1">
                      <a:lumMod val="60000"/>
                      <a:tint val="37000"/>
                      <a:satMod val="300000"/>
                    </a:schemeClr>
                  </a:gs>
                  <a:gs pos="100000">
                    <a:schemeClr val="accent1">
                      <a:lumMod val="60000"/>
                      <a:tint val="15000"/>
                      <a:satMod val="350000"/>
                    </a:schemeClr>
                  </a:gs>
                </a:gsLst>
                <a:lin ang="16200000" scaled="1"/>
              </a:gradFill>
              <a:ln w="9525" cap="flat" cmpd="sng" algn="ctr">
                <a:solidFill>
                  <a:schemeClr val="accent1">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D-87D7-4ED7-B8D5-2FA851AD94E9}"/>
              </c:ext>
            </c:extLst>
          </c:dPt>
          <c:dPt>
            <c:idx val="7"/>
            <c:bubble3D val="0"/>
            <c:spPr>
              <a:gradFill rotWithShape="1">
                <a:gsLst>
                  <a:gs pos="0">
                    <a:schemeClr val="accent2">
                      <a:lumMod val="60000"/>
                      <a:tint val="50000"/>
                      <a:satMod val="300000"/>
                    </a:schemeClr>
                  </a:gs>
                  <a:gs pos="35000">
                    <a:schemeClr val="accent2">
                      <a:lumMod val="60000"/>
                      <a:tint val="37000"/>
                      <a:satMod val="300000"/>
                    </a:schemeClr>
                  </a:gs>
                  <a:gs pos="100000">
                    <a:schemeClr val="accent2">
                      <a:lumMod val="60000"/>
                      <a:tint val="15000"/>
                      <a:satMod val="350000"/>
                    </a:schemeClr>
                  </a:gs>
                </a:gsLst>
                <a:lin ang="16200000" scaled="1"/>
              </a:gradFill>
              <a:ln w="9525" cap="flat" cmpd="sng" algn="ctr">
                <a:solidFill>
                  <a:schemeClr val="accent2">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F-87D7-4ED7-B8D5-2FA851AD94E9}"/>
              </c:ext>
            </c:extLst>
          </c:dPt>
          <c:dPt>
            <c:idx val="8"/>
            <c:bubble3D val="0"/>
            <c:spPr>
              <a:gradFill rotWithShape="1">
                <a:gsLst>
                  <a:gs pos="0">
                    <a:schemeClr val="accent3">
                      <a:lumMod val="60000"/>
                      <a:tint val="50000"/>
                      <a:satMod val="300000"/>
                    </a:schemeClr>
                  </a:gs>
                  <a:gs pos="35000">
                    <a:schemeClr val="accent3">
                      <a:lumMod val="60000"/>
                      <a:tint val="37000"/>
                      <a:satMod val="300000"/>
                    </a:schemeClr>
                  </a:gs>
                  <a:gs pos="100000">
                    <a:schemeClr val="accent3">
                      <a:lumMod val="60000"/>
                      <a:tint val="15000"/>
                      <a:satMod val="350000"/>
                    </a:schemeClr>
                  </a:gs>
                </a:gsLst>
                <a:lin ang="16200000" scaled="1"/>
              </a:gradFill>
              <a:ln w="9525" cap="flat" cmpd="sng" algn="ctr">
                <a:solidFill>
                  <a:schemeClr val="accent3">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5-251C-4F2A-979C-971E5018C526}"/>
              </c:ext>
            </c:extLst>
          </c:dPt>
          <c:dLbls>
            <c:dLbl>
              <c:idx val="0"/>
              <c:layout>
                <c:manualLayout>
                  <c:x val="-0.12904223752321856"/>
                  <c:y val="2.522468536023895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layout>
                    <c:manualLayout>
                      <c:w val="0.24359259925023383"/>
                      <c:h val="0.19608019518432962"/>
                    </c:manualLayout>
                  </c15:layout>
                </c:ext>
                <c:ext xmlns:c16="http://schemas.microsoft.com/office/drawing/2014/chart" uri="{C3380CC4-5D6E-409C-BE32-E72D297353CC}">
                  <c16:uniqueId val="{00000001-87D7-4ED7-B8D5-2FA851AD94E9}"/>
                </c:ext>
              </c:extLst>
            </c:dLbl>
            <c:dLbl>
              <c:idx val="1"/>
              <c:layout>
                <c:manualLayout>
                  <c:x val="0.10630973966596588"/>
                  <c:y val="2.190807663446143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7-251C-4F2A-979C-971E5018C526}"/>
                </c:ext>
              </c:extLst>
            </c:dLbl>
            <c:dLbl>
              <c:idx val="2"/>
              <c:layout>
                <c:manualLayout>
                  <c:x val="0.26816059793723102"/>
                  <c:y val="2.1994352602524608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6-251C-4F2A-979C-971E5018C526}"/>
                </c:ext>
              </c:extLst>
            </c:dLbl>
            <c:dLbl>
              <c:idx val="8"/>
              <c:layout>
                <c:manualLayout>
                  <c:x val="-0.29975928285046621"/>
                  <c:y val="0.21685163610000521"/>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5-251C-4F2A-979C-971E5018C526}"/>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1"/>
            <c:showSerName val="0"/>
            <c:showPercent val="1"/>
            <c:showBubbleSize val="0"/>
            <c:separator>
</c:separator>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'グラフ(年齢区分）'!$M$25:$M$33</c:f>
              <c:strCache>
                <c:ptCount val="9"/>
                <c:pt idx="0">
                  <c:v>19歳以下</c:v>
                </c:pt>
                <c:pt idx="1">
                  <c:v>20歳代</c:v>
                </c:pt>
                <c:pt idx="2">
                  <c:v>30歳代</c:v>
                </c:pt>
                <c:pt idx="3">
                  <c:v>40歳代</c:v>
                </c:pt>
                <c:pt idx="4">
                  <c:v>50歳代</c:v>
                </c:pt>
                <c:pt idx="5">
                  <c:v>60歳代</c:v>
                </c:pt>
                <c:pt idx="6">
                  <c:v>70歳代</c:v>
                </c:pt>
                <c:pt idx="7">
                  <c:v>80歳代</c:v>
                </c:pt>
                <c:pt idx="8">
                  <c:v>90歳以上</c:v>
                </c:pt>
              </c:strCache>
            </c:strRef>
          </c:cat>
          <c:val>
            <c:numRef>
              <c:f>'グラフ(年齢区分）'!$Q$25:$Q$33</c:f>
              <c:numCache>
                <c:formatCode>#,##0"人"</c:formatCode>
                <c:ptCount val="9"/>
                <c:pt idx="0">
                  <c:v>2</c:v>
                </c:pt>
                <c:pt idx="1">
                  <c:v>5</c:v>
                </c:pt>
                <c:pt idx="2">
                  <c:v>16</c:v>
                </c:pt>
                <c:pt idx="3">
                  <c:v>46</c:v>
                </c:pt>
                <c:pt idx="4">
                  <c:v>88</c:v>
                </c:pt>
                <c:pt idx="5">
                  <c:v>106</c:v>
                </c:pt>
                <c:pt idx="6">
                  <c:v>147</c:v>
                </c:pt>
                <c:pt idx="7">
                  <c:v>92</c:v>
                </c:pt>
                <c:pt idx="8">
                  <c:v>19</c:v>
                </c:pt>
              </c:numCache>
            </c:numRef>
          </c:val>
          <c:extLst>
            <c:ext xmlns:c16="http://schemas.microsoft.com/office/drawing/2014/chart" uri="{C3380CC4-5D6E-409C-BE32-E72D297353CC}">
              <c16:uniqueId val="{00000014-251C-4F2A-979C-971E5018C526}"/>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メイリオ" panose="020B0604030504040204" pitchFamily="50" charset="-128"/>
                <a:ea typeface="メイリオ" panose="020B0604030504040204" pitchFamily="50" charset="-128"/>
                <a:cs typeface="+mn-cs"/>
              </a:defRPr>
            </a:pPr>
            <a:r>
              <a:rPr lang="en-US" altLang="ja-JP" sz="1200" b="1">
                <a:latin typeface="メイリオ" panose="020B0604030504040204" pitchFamily="50" charset="-128"/>
                <a:ea typeface="メイリオ" panose="020B0604030504040204" pitchFamily="50" charset="-128"/>
              </a:rPr>
              <a:t>65</a:t>
            </a:r>
            <a:r>
              <a:rPr lang="ja-JP" altLang="en-US" sz="1200" b="1">
                <a:latin typeface="メイリオ" panose="020B0604030504040204" pitchFamily="50" charset="-128"/>
                <a:ea typeface="メイリオ" panose="020B0604030504040204" pitchFamily="50" charset="-128"/>
              </a:rPr>
              <a:t>歳以上</a:t>
            </a:r>
            <a:endParaRPr lang="ja-JP" sz="1200" b="1">
              <a:latin typeface="メイリオ" panose="020B0604030504040204" pitchFamily="50" charset="-128"/>
              <a:ea typeface="メイリオ" panose="020B0604030504040204" pitchFamily="50" charset="-128"/>
            </a:endParaRPr>
          </a:p>
        </c:rich>
      </c:tx>
      <c:layout>
        <c:manualLayout>
          <c:xMode val="edge"/>
          <c:yMode val="edge"/>
          <c:x val="0.36990981962620362"/>
          <c:y val="8.4938356155221835E-3"/>
        </c:manualLayout>
      </c:layout>
      <c:overlay val="0"/>
      <c:spPr>
        <a:noFill/>
        <a:ln>
          <a:noFill/>
        </a:ln>
        <a:effectLst/>
      </c:spPr>
      <c:txPr>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メイリオ" panose="020B0604030504040204" pitchFamily="50" charset="-128"/>
              <a:ea typeface="メイリオ" panose="020B0604030504040204" pitchFamily="50" charset="-128"/>
              <a:cs typeface="+mn-cs"/>
            </a:defRPr>
          </a:pPr>
          <a:endParaRPr lang="ja-JP"/>
        </a:p>
      </c:txPr>
    </c:title>
    <c:autoTitleDeleted val="0"/>
    <c:plotArea>
      <c:layout/>
      <c:pieChart>
        <c:varyColors val="1"/>
        <c:ser>
          <c:idx val="0"/>
          <c:order val="0"/>
          <c:tx>
            <c:strRef>
              <c:f>'グラフ(年齢区分）'!$N$45</c:f>
              <c:strCache>
                <c:ptCount val="1"/>
                <c:pt idx="0">
                  <c:v>全体</c:v>
                </c:pt>
              </c:strCache>
            </c:strRef>
          </c:tx>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0ED0-4E11-9694-FEF92E0CA9E5}"/>
              </c:ext>
            </c:extLst>
          </c:dPt>
          <c:dPt>
            <c:idx val="1"/>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0ED0-4E11-9694-FEF92E0CA9E5}"/>
              </c:ext>
            </c:extLst>
          </c:dPt>
          <c:dPt>
            <c:idx val="2"/>
            <c:bubble3D val="0"/>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5-0ED0-4E11-9694-FEF92E0CA9E5}"/>
              </c:ext>
            </c:extLst>
          </c:dPt>
          <c:dPt>
            <c:idx val="3"/>
            <c:bubble3D val="0"/>
            <c:spPr>
              <a:gradFill rotWithShape="1">
                <a:gsLst>
                  <a:gs pos="0">
                    <a:schemeClr val="accent4">
                      <a:tint val="50000"/>
                      <a:satMod val="300000"/>
                    </a:schemeClr>
                  </a:gs>
                  <a:gs pos="35000">
                    <a:schemeClr val="accent4">
                      <a:tint val="37000"/>
                      <a:satMod val="300000"/>
                    </a:schemeClr>
                  </a:gs>
                  <a:gs pos="100000">
                    <a:schemeClr val="accent4">
                      <a:tint val="15000"/>
                      <a:satMod val="350000"/>
                    </a:schemeClr>
                  </a:gs>
                </a:gsLst>
                <a:lin ang="16200000" scaled="1"/>
              </a:gradFill>
              <a:ln w="9525" cap="flat" cmpd="sng" algn="ctr">
                <a:solidFill>
                  <a:schemeClr val="accent4">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7-0ED0-4E11-9694-FEF92E0CA9E5}"/>
              </c:ext>
            </c:extLst>
          </c:dPt>
          <c:dPt>
            <c:idx val="4"/>
            <c:bubble3D val="0"/>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9-0ED0-4E11-9694-FEF92E0CA9E5}"/>
              </c:ext>
            </c:extLst>
          </c:dPt>
          <c:dPt>
            <c:idx val="5"/>
            <c:bubble3D val="0"/>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9525" cap="flat" cmpd="sng" algn="ctr">
                <a:solidFill>
                  <a:schemeClr val="accent6">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B-0ED0-4E11-9694-FEF92E0CA9E5}"/>
              </c:ext>
            </c:extLst>
          </c:dPt>
          <c:dPt>
            <c:idx val="6"/>
            <c:bubble3D val="0"/>
            <c:spPr>
              <a:gradFill rotWithShape="1">
                <a:gsLst>
                  <a:gs pos="0">
                    <a:schemeClr val="accent1">
                      <a:lumMod val="60000"/>
                      <a:tint val="50000"/>
                      <a:satMod val="300000"/>
                    </a:schemeClr>
                  </a:gs>
                  <a:gs pos="35000">
                    <a:schemeClr val="accent1">
                      <a:lumMod val="60000"/>
                      <a:tint val="37000"/>
                      <a:satMod val="300000"/>
                    </a:schemeClr>
                  </a:gs>
                  <a:gs pos="100000">
                    <a:schemeClr val="accent1">
                      <a:lumMod val="60000"/>
                      <a:tint val="15000"/>
                      <a:satMod val="350000"/>
                    </a:schemeClr>
                  </a:gs>
                </a:gsLst>
                <a:lin ang="16200000" scaled="1"/>
              </a:gradFill>
              <a:ln w="9525" cap="flat" cmpd="sng" algn="ctr">
                <a:solidFill>
                  <a:schemeClr val="accent1">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D-0ED0-4E11-9694-FEF92E0CA9E5}"/>
              </c:ext>
            </c:extLst>
          </c:dPt>
          <c:dPt>
            <c:idx val="7"/>
            <c:bubble3D val="0"/>
            <c:spPr>
              <a:gradFill rotWithShape="1">
                <a:gsLst>
                  <a:gs pos="0">
                    <a:schemeClr val="accent2">
                      <a:lumMod val="60000"/>
                      <a:tint val="50000"/>
                      <a:satMod val="300000"/>
                    </a:schemeClr>
                  </a:gs>
                  <a:gs pos="35000">
                    <a:schemeClr val="accent2">
                      <a:lumMod val="60000"/>
                      <a:tint val="37000"/>
                      <a:satMod val="300000"/>
                    </a:schemeClr>
                  </a:gs>
                  <a:gs pos="100000">
                    <a:schemeClr val="accent2">
                      <a:lumMod val="60000"/>
                      <a:tint val="15000"/>
                      <a:satMod val="350000"/>
                    </a:schemeClr>
                  </a:gs>
                </a:gsLst>
                <a:lin ang="16200000" scaled="1"/>
              </a:gradFill>
              <a:ln w="9525" cap="flat" cmpd="sng" algn="ctr">
                <a:solidFill>
                  <a:schemeClr val="accent2">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F-0ED0-4E11-9694-FEF92E0CA9E5}"/>
              </c:ext>
            </c:extLst>
          </c:dPt>
          <c:dPt>
            <c:idx val="8"/>
            <c:bubble3D val="0"/>
            <c:spPr>
              <a:gradFill rotWithShape="1">
                <a:gsLst>
                  <a:gs pos="0">
                    <a:schemeClr val="accent3">
                      <a:lumMod val="60000"/>
                      <a:tint val="50000"/>
                      <a:satMod val="300000"/>
                    </a:schemeClr>
                  </a:gs>
                  <a:gs pos="35000">
                    <a:schemeClr val="accent3">
                      <a:lumMod val="60000"/>
                      <a:tint val="37000"/>
                      <a:satMod val="300000"/>
                    </a:schemeClr>
                  </a:gs>
                  <a:gs pos="100000">
                    <a:schemeClr val="accent3">
                      <a:lumMod val="60000"/>
                      <a:tint val="15000"/>
                      <a:satMod val="350000"/>
                    </a:schemeClr>
                  </a:gs>
                </a:gsLst>
                <a:lin ang="16200000" scaled="1"/>
              </a:gradFill>
              <a:ln w="9525" cap="flat" cmpd="sng" algn="ctr">
                <a:solidFill>
                  <a:schemeClr val="accent3">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1-0ED0-4E11-9694-FEF92E0CA9E5}"/>
              </c:ext>
            </c:extLst>
          </c:dPt>
          <c:dLbls>
            <c:dLbl>
              <c:idx val="0"/>
              <c:layout>
                <c:manualLayout>
                  <c:x val="-0.15157701476995589"/>
                  <c:y val="0.1705374925929740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0ED0-4E11-9694-FEF92E0CA9E5}"/>
                </c:ext>
              </c:extLst>
            </c:dLbl>
            <c:dLbl>
              <c:idx val="1"/>
              <c:layout>
                <c:manualLayout>
                  <c:x val="-0.20300696937312193"/>
                  <c:y val="-4.8592430989257716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0ED0-4E11-9694-FEF92E0CA9E5}"/>
                </c:ext>
              </c:extLst>
            </c:dLbl>
            <c:dLbl>
              <c:idx val="2"/>
              <c:layout>
                <c:manualLayout>
                  <c:x val="-8.9459752881504997E-2"/>
                  <c:y val="-0.1359013698483550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0ED0-4E11-9694-FEF92E0CA9E5}"/>
                </c:ext>
              </c:extLst>
            </c:dLbl>
            <c:dLbl>
              <c:idx val="3"/>
              <c:layout>
                <c:manualLayout>
                  <c:x val="0.17852445283048413"/>
                  <c:y val="-6.311956511561656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0ED0-4E11-9694-FEF92E0CA9E5}"/>
                </c:ext>
              </c:extLst>
            </c:dLbl>
            <c:dLbl>
              <c:idx val="4"/>
              <c:layout>
                <c:manualLayout>
                  <c:x val="0.11267816528414451"/>
                  <c:y val="9.3554917663299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0ED0-4E11-9694-FEF92E0CA9E5}"/>
                </c:ext>
              </c:extLst>
            </c:dLbl>
            <c:dLbl>
              <c:idx val="8"/>
              <c:layout>
                <c:manualLayout>
                  <c:x val="-0.25055522875816993"/>
                  <c:y val="3.3293402777777779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1-0ED0-4E11-9694-FEF92E0CA9E5}"/>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1"/>
            <c:showSerName val="0"/>
            <c:showPercent val="1"/>
            <c:showBubbleSize val="0"/>
            <c:separator>
</c:separator>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'グラフ(年齢区分）'!$M$46:$M$51</c:f>
              <c:strCache>
                <c:ptCount val="6"/>
                <c:pt idx="0">
                  <c:v>65-69歳</c:v>
                </c:pt>
                <c:pt idx="1">
                  <c:v>70-74歳</c:v>
                </c:pt>
                <c:pt idx="2">
                  <c:v>75-79歳</c:v>
                </c:pt>
                <c:pt idx="3">
                  <c:v>80-84歳</c:v>
                </c:pt>
                <c:pt idx="4">
                  <c:v>85-89歳</c:v>
                </c:pt>
                <c:pt idx="5">
                  <c:v>90歳以上</c:v>
                </c:pt>
              </c:strCache>
            </c:strRef>
          </c:cat>
          <c:val>
            <c:numRef>
              <c:f>'グラフ(年齢区分）'!$N$46:$N$51</c:f>
              <c:numCache>
                <c:formatCode>#,###"人"</c:formatCode>
                <c:ptCount val="6"/>
                <c:pt idx="0">
                  <c:v>1277</c:v>
                </c:pt>
                <c:pt idx="1">
                  <c:v>2013</c:v>
                </c:pt>
                <c:pt idx="2">
                  <c:v>1715</c:v>
                </c:pt>
                <c:pt idx="3">
                  <c:v>1901</c:v>
                </c:pt>
                <c:pt idx="4">
                  <c:v>1413</c:v>
                </c:pt>
                <c:pt idx="5">
                  <c:v>738</c:v>
                </c:pt>
              </c:numCache>
            </c:numRef>
          </c:val>
          <c:extLst>
            <c:ext xmlns:c16="http://schemas.microsoft.com/office/drawing/2014/chart" uri="{C3380CC4-5D6E-409C-BE32-E72D297353CC}">
              <c16:uniqueId val="{00000012-0ED0-4E11-9694-FEF92E0CA9E5}"/>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メイリオ" panose="020B0604030504040204" pitchFamily="50" charset="-128"/>
                <a:ea typeface="メイリオ" panose="020B0604030504040204" pitchFamily="50" charset="-128"/>
                <a:cs typeface="+mn-cs"/>
              </a:defRPr>
            </a:pPr>
            <a:r>
              <a:rPr lang="en-US" altLang="ja-JP" sz="1200" b="1">
                <a:latin typeface="メイリオ" panose="020B0604030504040204" pitchFamily="50" charset="-128"/>
                <a:ea typeface="メイリオ" panose="020B0604030504040204" pitchFamily="50" charset="-128"/>
              </a:rPr>
              <a:t>65</a:t>
            </a:r>
            <a:r>
              <a:rPr lang="ja-JP" altLang="en-US" sz="1200" b="1">
                <a:latin typeface="メイリオ" panose="020B0604030504040204" pitchFamily="50" charset="-128"/>
                <a:ea typeface="メイリオ" panose="020B0604030504040204" pitchFamily="50" charset="-128"/>
              </a:rPr>
              <a:t>歳以上＿寛解・院内寛解群</a:t>
            </a:r>
            <a:endParaRPr lang="ja-JP" sz="1200" b="1">
              <a:latin typeface="メイリオ" panose="020B0604030504040204" pitchFamily="50" charset="-128"/>
              <a:ea typeface="メイリオ" panose="020B0604030504040204" pitchFamily="50" charset="-128"/>
            </a:endParaRPr>
          </a:p>
        </c:rich>
      </c:tx>
      <c:layout>
        <c:manualLayout>
          <c:xMode val="edge"/>
          <c:yMode val="edge"/>
          <c:x val="0.159632072694495"/>
          <c:y val="8.4938356155221835E-3"/>
        </c:manualLayout>
      </c:layout>
      <c:overlay val="0"/>
      <c:spPr>
        <a:noFill/>
        <a:ln>
          <a:noFill/>
        </a:ln>
        <a:effectLst/>
      </c:spPr>
      <c:txPr>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メイリオ" panose="020B0604030504040204" pitchFamily="50" charset="-128"/>
              <a:ea typeface="メイリオ" panose="020B0604030504040204" pitchFamily="50" charset="-128"/>
              <a:cs typeface="+mn-cs"/>
            </a:defRPr>
          </a:pPr>
          <a:endParaRPr lang="ja-JP"/>
        </a:p>
      </c:txPr>
    </c:title>
    <c:autoTitleDeleted val="0"/>
    <c:plotArea>
      <c:layout/>
      <c:pieChart>
        <c:varyColors val="1"/>
        <c:ser>
          <c:idx val="2"/>
          <c:order val="0"/>
          <c:tx>
            <c:strRef>
              <c:f>'グラフ(年齢区分）'!$O$45</c:f>
              <c:strCache>
                <c:ptCount val="1"/>
                <c:pt idx="0">
                  <c:v>寛解院内寛解</c:v>
                </c:pt>
              </c:strCache>
            </c:strRef>
          </c:tx>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E2E7-4C5C-AE28-FFF4F4AECDC1}"/>
              </c:ext>
            </c:extLst>
          </c:dPt>
          <c:dPt>
            <c:idx val="1"/>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E2E7-4C5C-AE28-FFF4F4AECDC1}"/>
              </c:ext>
            </c:extLst>
          </c:dPt>
          <c:dPt>
            <c:idx val="2"/>
            <c:bubble3D val="0"/>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5-E2E7-4C5C-AE28-FFF4F4AECDC1}"/>
              </c:ext>
            </c:extLst>
          </c:dPt>
          <c:dPt>
            <c:idx val="3"/>
            <c:bubble3D val="0"/>
            <c:spPr>
              <a:gradFill rotWithShape="1">
                <a:gsLst>
                  <a:gs pos="0">
                    <a:schemeClr val="accent4">
                      <a:tint val="50000"/>
                      <a:satMod val="300000"/>
                    </a:schemeClr>
                  </a:gs>
                  <a:gs pos="35000">
                    <a:schemeClr val="accent4">
                      <a:tint val="37000"/>
                      <a:satMod val="300000"/>
                    </a:schemeClr>
                  </a:gs>
                  <a:gs pos="100000">
                    <a:schemeClr val="accent4">
                      <a:tint val="15000"/>
                      <a:satMod val="350000"/>
                    </a:schemeClr>
                  </a:gs>
                </a:gsLst>
                <a:lin ang="16200000" scaled="1"/>
              </a:gradFill>
              <a:ln w="9525" cap="flat" cmpd="sng" algn="ctr">
                <a:solidFill>
                  <a:schemeClr val="accent4">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7-E2E7-4C5C-AE28-FFF4F4AECDC1}"/>
              </c:ext>
            </c:extLst>
          </c:dPt>
          <c:dPt>
            <c:idx val="4"/>
            <c:bubble3D val="0"/>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9-E2E7-4C5C-AE28-FFF4F4AECDC1}"/>
              </c:ext>
            </c:extLst>
          </c:dPt>
          <c:dPt>
            <c:idx val="5"/>
            <c:bubble3D val="0"/>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9525" cap="flat" cmpd="sng" algn="ctr">
                <a:solidFill>
                  <a:schemeClr val="accent6">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B-E2E7-4C5C-AE28-FFF4F4AECDC1}"/>
              </c:ext>
            </c:extLst>
          </c:dPt>
          <c:dPt>
            <c:idx val="6"/>
            <c:bubble3D val="0"/>
            <c:spPr>
              <a:gradFill rotWithShape="1">
                <a:gsLst>
                  <a:gs pos="0">
                    <a:schemeClr val="accent1">
                      <a:lumMod val="60000"/>
                      <a:tint val="50000"/>
                      <a:satMod val="300000"/>
                    </a:schemeClr>
                  </a:gs>
                  <a:gs pos="35000">
                    <a:schemeClr val="accent1">
                      <a:lumMod val="60000"/>
                      <a:tint val="37000"/>
                      <a:satMod val="300000"/>
                    </a:schemeClr>
                  </a:gs>
                  <a:gs pos="100000">
                    <a:schemeClr val="accent1">
                      <a:lumMod val="60000"/>
                      <a:tint val="15000"/>
                      <a:satMod val="350000"/>
                    </a:schemeClr>
                  </a:gs>
                </a:gsLst>
                <a:lin ang="16200000" scaled="1"/>
              </a:gradFill>
              <a:ln w="9525" cap="flat" cmpd="sng" algn="ctr">
                <a:solidFill>
                  <a:schemeClr val="accent1">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D-E2E7-4C5C-AE28-FFF4F4AECDC1}"/>
              </c:ext>
            </c:extLst>
          </c:dPt>
          <c:dPt>
            <c:idx val="7"/>
            <c:bubble3D val="0"/>
            <c:spPr>
              <a:gradFill rotWithShape="1">
                <a:gsLst>
                  <a:gs pos="0">
                    <a:schemeClr val="accent2">
                      <a:lumMod val="60000"/>
                      <a:tint val="50000"/>
                      <a:satMod val="300000"/>
                    </a:schemeClr>
                  </a:gs>
                  <a:gs pos="35000">
                    <a:schemeClr val="accent2">
                      <a:lumMod val="60000"/>
                      <a:tint val="37000"/>
                      <a:satMod val="300000"/>
                    </a:schemeClr>
                  </a:gs>
                  <a:gs pos="100000">
                    <a:schemeClr val="accent2">
                      <a:lumMod val="60000"/>
                      <a:tint val="15000"/>
                      <a:satMod val="350000"/>
                    </a:schemeClr>
                  </a:gs>
                </a:gsLst>
                <a:lin ang="16200000" scaled="1"/>
              </a:gradFill>
              <a:ln w="9525" cap="flat" cmpd="sng" algn="ctr">
                <a:solidFill>
                  <a:schemeClr val="accent2">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F-E2E7-4C5C-AE28-FFF4F4AECDC1}"/>
              </c:ext>
            </c:extLst>
          </c:dPt>
          <c:dPt>
            <c:idx val="8"/>
            <c:bubble3D val="0"/>
            <c:spPr>
              <a:gradFill rotWithShape="1">
                <a:gsLst>
                  <a:gs pos="0">
                    <a:schemeClr val="accent3">
                      <a:lumMod val="60000"/>
                      <a:tint val="50000"/>
                      <a:satMod val="300000"/>
                    </a:schemeClr>
                  </a:gs>
                  <a:gs pos="35000">
                    <a:schemeClr val="accent3">
                      <a:lumMod val="60000"/>
                      <a:tint val="37000"/>
                      <a:satMod val="300000"/>
                    </a:schemeClr>
                  </a:gs>
                  <a:gs pos="100000">
                    <a:schemeClr val="accent3">
                      <a:lumMod val="60000"/>
                      <a:tint val="15000"/>
                      <a:satMod val="350000"/>
                    </a:schemeClr>
                  </a:gs>
                </a:gsLst>
                <a:lin ang="16200000" scaled="1"/>
              </a:gradFill>
              <a:ln w="9525" cap="flat" cmpd="sng" algn="ctr">
                <a:solidFill>
                  <a:schemeClr val="accent3">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1-E2E7-4C5C-AE28-FFF4F4AECDC1}"/>
              </c:ext>
            </c:extLst>
          </c:dPt>
          <c:dLbls>
            <c:dLbl>
              <c:idx val="1"/>
              <c:layout>
                <c:manualLayout>
                  <c:x val="-0.21919198234740911"/>
                  <c:y val="-8.4264868559565859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E2E7-4C5C-AE28-FFF4F4AECDC1}"/>
                </c:ext>
              </c:extLst>
            </c:dLbl>
            <c:dLbl>
              <c:idx val="2"/>
              <c:layout>
                <c:manualLayout>
                  <c:x val="-2.5473944452694131E-2"/>
                  <c:y val="-0.1528890410793993"/>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E2E7-4C5C-AE28-FFF4F4AECDC1}"/>
                </c:ext>
              </c:extLst>
            </c:dLbl>
            <c:dLbl>
              <c:idx val="8"/>
              <c:layout>
                <c:manualLayout>
                  <c:x val="-0.22945242058808976"/>
                  <c:y val="3.8481088174039363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1-E2E7-4C5C-AE28-FFF4F4AECDC1}"/>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1"/>
            <c:showSerName val="0"/>
            <c:showPercent val="1"/>
            <c:showBubbleSize val="0"/>
            <c:separator>
</c:separator>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'グラフ(年齢区分）'!$M$46:$M$51</c:f>
              <c:strCache>
                <c:ptCount val="6"/>
                <c:pt idx="0">
                  <c:v>65-69歳</c:v>
                </c:pt>
                <c:pt idx="1">
                  <c:v>70-74歳</c:v>
                </c:pt>
                <c:pt idx="2">
                  <c:v>75-79歳</c:v>
                </c:pt>
                <c:pt idx="3">
                  <c:v>80-84歳</c:v>
                </c:pt>
                <c:pt idx="4">
                  <c:v>85-89歳</c:v>
                </c:pt>
                <c:pt idx="5">
                  <c:v>90歳以上</c:v>
                </c:pt>
              </c:strCache>
            </c:strRef>
          </c:cat>
          <c:val>
            <c:numRef>
              <c:f>'グラフ(年齢区分）'!$O$46:$O$51</c:f>
              <c:numCache>
                <c:formatCode>#,###"人"</c:formatCode>
                <c:ptCount val="6"/>
                <c:pt idx="0">
                  <c:v>135</c:v>
                </c:pt>
                <c:pt idx="1">
                  <c:v>184</c:v>
                </c:pt>
                <c:pt idx="2">
                  <c:v>176</c:v>
                </c:pt>
                <c:pt idx="3">
                  <c:v>150</c:v>
                </c:pt>
                <c:pt idx="4">
                  <c:v>138</c:v>
                </c:pt>
                <c:pt idx="5">
                  <c:v>51</c:v>
                </c:pt>
              </c:numCache>
            </c:numRef>
          </c:val>
          <c:extLst>
            <c:ext xmlns:c16="http://schemas.microsoft.com/office/drawing/2014/chart" uri="{C3380CC4-5D6E-409C-BE32-E72D297353CC}">
              <c16:uniqueId val="{00000012-E2E7-4C5C-AE28-FFF4F4AECDC1}"/>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メイリオ" panose="020B0604030504040204" pitchFamily="50" charset="-128"/>
                <a:ea typeface="メイリオ" panose="020B0604030504040204" pitchFamily="50" charset="-128"/>
                <a:cs typeface="+mn-cs"/>
              </a:defRPr>
            </a:pPr>
            <a:r>
              <a:rPr lang="ja-JP" altLang="en-US" sz="1200" b="1">
                <a:latin typeface="メイリオ" panose="020B0604030504040204" pitchFamily="50" charset="-128"/>
                <a:ea typeface="メイリオ" panose="020B0604030504040204" pitchFamily="50" charset="-128"/>
              </a:rPr>
              <a:t>疾患別</a:t>
            </a:r>
            <a:endParaRPr lang="ja-JP" sz="1200" b="1">
              <a:latin typeface="メイリオ" panose="020B0604030504040204" pitchFamily="50" charset="-128"/>
              <a:ea typeface="メイリオ" panose="020B0604030504040204" pitchFamily="50" charset="-128"/>
            </a:endParaRPr>
          </a:p>
        </c:rich>
      </c:tx>
      <c:overlay val="0"/>
      <c:spPr>
        <a:noFill/>
        <a:ln>
          <a:noFill/>
        </a:ln>
        <a:effectLst/>
      </c:spPr>
      <c:txPr>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メイリオ" panose="020B0604030504040204" pitchFamily="50" charset="-128"/>
              <a:ea typeface="メイリオ" panose="020B0604030504040204" pitchFamily="50" charset="-128"/>
              <a:cs typeface="+mn-cs"/>
            </a:defRPr>
          </a:pPr>
          <a:endParaRPr lang="ja-JP"/>
        </a:p>
      </c:txPr>
    </c:title>
    <c:autoTitleDeleted val="0"/>
    <c:plotArea>
      <c:layout/>
      <c:barChart>
        <c:barDir val="bar"/>
        <c:grouping val="clustered"/>
        <c:varyColors val="0"/>
        <c:ser>
          <c:idx val="1"/>
          <c:order val="0"/>
          <c:tx>
            <c:strRef>
              <c:f>'グラフ(疾患名)'!$O$4</c:f>
              <c:strCache>
                <c:ptCount val="1"/>
                <c:pt idx="0">
                  <c:v>人数</c:v>
                </c:pt>
              </c:strCache>
            </c:strRef>
          </c:tx>
          <c:spPr>
            <a:solidFill>
              <a:schemeClr val="accent3">
                <a:lumMod val="40000"/>
                <a:lumOff val="60000"/>
              </a:schemeClr>
            </a:solidFill>
            <a:ln w="9525" cap="flat" cmpd="sng" algn="ctr">
              <a:solidFill>
                <a:schemeClr val="accent3">
                  <a:lumMod val="7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'グラフ(疾患名)'!$T$5:$T$16</c:f>
              <c:strCache>
                <c:ptCount val="12"/>
                <c:pt idx="0">
                  <c:v>F0</c:v>
                </c:pt>
                <c:pt idx="1">
                  <c:v>F1</c:v>
                </c:pt>
                <c:pt idx="2">
                  <c:v>F2</c:v>
                </c:pt>
                <c:pt idx="3">
                  <c:v>F3</c:v>
                </c:pt>
                <c:pt idx="4">
                  <c:v>F4</c:v>
                </c:pt>
                <c:pt idx="5">
                  <c:v>F5</c:v>
                </c:pt>
                <c:pt idx="6">
                  <c:v>F6</c:v>
                </c:pt>
                <c:pt idx="7">
                  <c:v>F7</c:v>
                </c:pt>
                <c:pt idx="8">
                  <c:v>F8</c:v>
                </c:pt>
                <c:pt idx="9">
                  <c:v>F9</c:v>
                </c:pt>
                <c:pt idx="10">
                  <c:v>てんかん</c:v>
                </c:pt>
                <c:pt idx="11">
                  <c:v>その他</c:v>
                </c:pt>
              </c:strCache>
            </c:strRef>
          </c:cat>
          <c:val>
            <c:numRef>
              <c:f>'グラフ(疾患名)'!$O$5:$O$16</c:f>
              <c:numCache>
                <c:formatCode>#,##0"人"</c:formatCode>
                <c:ptCount val="12"/>
                <c:pt idx="0">
                  <c:v>4235</c:v>
                </c:pt>
                <c:pt idx="1">
                  <c:v>813</c:v>
                </c:pt>
                <c:pt idx="2">
                  <c:v>7329</c:v>
                </c:pt>
                <c:pt idx="3">
                  <c:v>1533</c:v>
                </c:pt>
                <c:pt idx="4">
                  <c:v>272</c:v>
                </c:pt>
                <c:pt idx="5">
                  <c:v>33</c:v>
                </c:pt>
                <c:pt idx="6">
                  <c:v>54</c:v>
                </c:pt>
                <c:pt idx="7">
                  <c:v>288</c:v>
                </c:pt>
                <c:pt idx="8">
                  <c:v>165</c:v>
                </c:pt>
                <c:pt idx="9">
                  <c:v>43</c:v>
                </c:pt>
                <c:pt idx="10">
                  <c:v>48</c:v>
                </c:pt>
                <c:pt idx="11">
                  <c:v>178</c:v>
                </c:pt>
              </c:numCache>
            </c:numRef>
          </c:val>
          <c:extLst>
            <c:ext xmlns:c16="http://schemas.microsoft.com/office/drawing/2014/chart" uri="{C3380CC4-5D6E-409C-BE32-E72D297353CC}">
              <c16:uniqueId val="{00000014-4158-41FF-AD15-82CE2CDF7B43}"/>
            </c:ext>
          </c:extLst>
        </c:ser>
        <c:dLbls>
          <c:showLegendKey val="0"/>
          <c:showVal val="0"/>
          <c:showCatName val="0"/>
          <c:showSerName val="0"/>
          <c:showPercent val="0"/>
          <c:showBubbleSize val="0"/>
        </c:dLbls>
        <c:gapWidth val="100"/>
        <c:axId val="699428592"/>
        <c:axId val="699420688"/>
      </c:barChart>
      <c:valAx>
        <c:axId val="699420688"/>
        <c:scaling>
          <c:orientation val="minMax"/>
        </c:scaling>
        <c:delete val="0"/>
        <c:axPos val="t"/>
        <c:majorGridlines>
          <c:spPr>
            <a:ln w="9525" cap="flat" cmpd="sng" algn="ctr">
              <a:solidFill>
                <a:schemeClr val="tx1">
                  <a:lumMod val="15000"/>
                  <a:lumOff val="85000"/>
                </a:schemeClr>
              </a:solidFill>
              <a:round/>
            </a:ln>
            <a:effectLst/>
          </c:spPr>
        </c:majorGridlines>
        <c:numFmt formatCode="#,##0&quot;人&quot;"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699428592"/>
        <c:crosses val="autoZero"/>
        <c:crossBetween val="between"/>
      </c:valAx>
      <c:catAx>
        <c:axId val="699428592"/>
        <c:scaling>
          <c:orientation val="maxMin"/>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699420688"/>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メイリオ" panose="020B0604030504040204" pitchFamily="50" charset="-128"/>
                <a:ea typeface="メイリオ" panose="020B0604030504040204" pitchFamily="50" charset="-128"/>
                <a:cs typeface="+mn-cs"/>
              </a:defRPr>
            </a:pPr>
            <a:r>
              <a:rPr lang="ja-JP" altLang="en-US" sz="1200" b="1">
                <a:latin typeface="メイリオ" panose="020B0604030504040204" pitchFamily="50" charset="-128"/>
                <a:ea typeface="メイリオ" panose="020B0604030504040204" pitchFamily="50" charset="-128"/>
              </a:rPr>
              <a:t>疾患別＿寛解・院内寛解群</a:t>
            </a:r>
            <a:endParaRPr lang="ja-JP" sz="1200" b="1">
              <a:latin typeface="メイリオ" panose="020B0604030504040204" pitchFamily="50" charset="-128"/>
              <a:ea typeface="メイリオ" panose="020B0604030504040204" pitchFamily="50" charset="-128"/>
            </a:endParaRPr>
          </a:p>
        </c:rich>
      </c:tx>
      <c:layout>
        <c:manualLayout>
          <c:xMode val="edge"/>
          <c:yMode val="edge"/>
          <c:x val="0.1641813402526488"/>
          <c:y val="1.2740753423283275E-2"/>
        </c:manualLayout>
      </c:layout>
      <c:overlay val="0"/>
      <c:spPr>
        <a:noFill/>
        <a:ln>
          <a:noFill/>
        </a:ln>
        <a:effectLst/>
      </c:spPr>
      <c:txPr>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メイリオ" panose="020B0604030504040204" pitchFamily="50" charset="-128"/>
              <a:ea typeface="メイリオ" panose="020B0604030504040204" pitchFamily="50" charset="-128"/>
              <a:cs typeface="+mn-cs"/>
            </a:defRPr>
          </a:pPr>
          <a:endParaRPr lang="ja-JP"/>
        </a:p>
      </c:txPr>
    </c:title>
    <c:autoTitleDeleted val="0"/>
    <c:plotArea>
      <c:layout/>
      <c:barChart>
        <c:barDir val="bar"/>
        <c:grouping val="clustered"/>
        <c:varyColors val="0"/>
        <c:ser>
          <c:idx val="1"/>
          <c:order val="0"/>
          <c:tx>
            <c:strRef>
              <c:f>'グラフ(疾患名)'!$R$4</c:f>
              <c:strCache>
                <c:ptCount val="1"/>
                <c:pt idx="0">
                  <c:v>計</c:v>
                </c:pt>
              </c:strCache>
            </c:strRef>
          </c:tx>
          <c:spPr>
            <a:solidFill>
              <a:schemeClr val="accent3">
                <a:lumMod val="40000"/>
                <a:lumOff val="60000"/>
              </a:schemeClr>
            </a:solidFill>
            <a:ln w="9525" cap="flat" cmpd="sng" algn="ctr">
              <a:solidFill>
                <a:schemeClr val="accent3">
                  <a:lumMod val="7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'グラフ(疾患名)'!$T$5:$T$16</c:f>
              <c:strCache>
                <c:ptCount val="12"/>
                <c:pt idx="0">
                  <c:v>F0</c:v>
                </c:pt>
                <c:pt idx="1">
                  <c:v>F1</c:v>
                </c:pt>
                <c:pt idx="2">
                  <c:v>F2</c:v>
                </c:pt>
                <c:pt idx="3">
                  <c:v>F3</c:v>
                </c:pt>
                <c:pt idx="4">
                  <c:v>F4</c:v>
                </c:pt>
                <c:pt idx="5">
                  <c:v>F5</c:v>
                </c:pt>
                <c:pt idx="6">
                  <c:v>F6</c:v>
                </c:pt>
                <c:pt idx="7">
                  <c:v>F7</c:v>
                </c:pt>
                <c:pt idx="8">
                  <c:v>F8</c:v>
                </c:pt>
                <c:pt idx="9">
                  <c:v>F9</c:v>
                </c:pt>
                <c:pt idx="10">
                  <c:v>てんかん</c:v>
                </c:pt>
                <c:pt idx="11">
                  <c:v>その他</c:v>
                </c:pt>
              </c:strCache>
            </c:strRef>
          </c:cat>
          <c:val>
            <c:numRef>
              <c:f>'グラフ(疾患名)'!$R$5:$R$16</c:f>
              <c:numCache>
                <c:formatCode>#,##0"人"</c:formatCode>
                <c:ptCount val="12"/>
                <c:pt idx="0">
                  <c:v>328</c:v>
                </c:pt>
                <c:pt idx="1">
                  <c:v>233</c:v>
                </c:pt>
                <c:pt idx="2">
                  <c:v>629</c:v>
                </c:pt>
                <c:pt idx="3">
                  <c:v>297</c:v>
                </c:pt>
                <c:pt idx="4">
                  <c:v>77</c:v>
                </c:pt>
                <c:pt idx="5">
                  <c:v>4</c:v>
                </c:pt>
                <c:pt idx="6">
                  <c:v>14</c:v>
                </c:pt>
                <c:pt idx="7">
                  <c:v>24</c:v>
                </c:pt>
                <c:pt idx="8">
                  <c:v>27</c:v>
                </c:pt>
                <c:pt idx="9">
                  <c:v>8</c:v>
                </c:pt>
                <c:pt idx="10">
                  <c:v>4</c:v>
                </c:pt>
                <c:pt idx="11">
                  <c:v>12</c:v>
                </c:pt>
              </c:numCache>
            </c:numRef>
          </c:val>
          <c:extLst>
            <c:ext xmlns:c16="http://schemas.microsoft.com/office/drawing/2014/chart" uri="{C3380CC4-5D6E-409C-BE32-E72D297353CC}">
              <c16:uniqueId val="{00000014-0450-4C83-A419-A907C4B564A4}"/>
            </c:ext>
          </c:extLst>
        </c:ser>
        <c:dLbls>
          <c:showLegendKey val="0"/>
          <c:showVal val="0"/>
          <c:showCatName val="0"/>
          <c:showSerName val="0"/>
          <c:showPercent val="0"/>
          <c:showBubbleSize val="0"/>
        </c:dLbls>
        <c:gapWidth val="100"/>
        <c:axId val="630609584"/>
        <c:axId val="630607088"/>
      </c:barChart>
      <c:valAx>
        <c:axId val="630607088"/>
        <c:scaling>
          <c:orientation val="minMax"/>
        </c:scaling>
        <c:delete val="0"/>
        <c:axPos val="t"/>
        <c:majorGridlines>
          <c:spPr>
            <a:ln w="9525" cap="flat" cmpd="sng" algn="ctr">
              <a:solidFill>
                <a:schemeClr val="tx1">
                  <a:lumMod val="15000"/>
                  <a:lumOff val="85000"/>
                </a:schemeClr>
              </a:solidFill>
              <a:round/>
            </a:ln>
            <a:effectLst/>
          </c:spPr>
        </c:majorGridlines>
        <c:numFmt formatCode="#,##0&quot;人&quot;"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630609584"/>
        <c:crosses val="autoZero"/>
        <c:crossBetween val="between"/>
      </c:valAx>
      <c:catAx>
        <c:axId val="630609584"/>
        <c:scaling>
          <c:orientation val="maxMin"/>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630607088"/>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メイリオ" panose="020B0604030504040204" pitchFamily="50" charset="-128"/>
                <a:ea typeface="メイリオ" panose="020B0604030504040204" pitchFamily="50" charset="-128"/>
                <a:cs typeface="+mn-cs"/>
              </a:defRPr>
            </a:pPr>
            <a:r>
              <a:rPr lang="en-US" altLang="ja-JP" sz="1200" b="1">
                <a:latin typeface="メイリオ" panose="020B0604030504040204" pitchFamily="50" charset="-128"/>
                <a:ea typeface="メイリオ" panose="020B0604030504040204" pitchFamily="50" charset="-128"/>
              </a:rPr>
              <a:t>1</a:t>
            </a:r>
            <a:r>
              <a:rPr lang="ja-JP" altLang="en-US" sz="1200" b="1">
                <a:latin typeface="メイリオ" panose="020B0604030504040204" pitchFamily="50" charset="-128"/>
                <a:ea typeface="メイリオ" panose="020B0604030504040204" pitchFamily="50" charset="-128"/>
              </a:rPr>
              <a:t>年以上</a:t>
            </a:r>
            <a:endParaRPr lang="ja-JP" sz="1200" b="1">
              <a:latin typeface="メイリオ" panose="020B0604030504040204" pitchFamily="50" charset="-128"/>
              <a:ea typeface="メイリオ" panose="020B0604030504040204" pitchFamily="50" charset="-128"/>
            </a:endParaRPr>
          </a:p>
        </c:rich>
      </c:tx>
      <c:layout>
        <c:manualLayout>
          <c:xMode val="edge"/>
          <c:yMode val="edge"/>
          <c:x val="0.38648181712605029"/>
          <c:y val="4.2469178077610917E-3"/>
        </c:manualLayout>
      </c:layout>
      <c:overlay val="0"/>
      <c:spPr>
        <a:noFill/>
        <a:ln>
          <a:noFill/>
        </a:ln>
        <a:effectLst/>
      </c:spPr>
      <c:txPr>
        <a:bodyPr rot="0" spcFirstLastPara="1" vertOverflow="ellipsis" vert="horz" wrap="square" anchor="ctr" anchorCtr="1"/>
        <a:lstStyle/>
        <a:p>
          <a:pPr>
            <a:defRPr sz="1200" b="1" i="0" u="none" strike="noStrike" kern="1200" cap="none" spc="20" baseline="0">
              <a:solidFill>
                <a:schemeClr val="tx1">
                  <a:lumMod val="50000"/>
                  <a:lumOff val="50000"/>
                </a:schemeClr>
              </a:solidFill>
              <a:latin typeface="メイリオ" panose="020B0604030504040204" pitchFamily="50" charset="-128"/>
              <a:ea typeface="メイリオ" panose="020B0604030504040204" pitchFamily="50" charset="-128"/>
              <a:cs typeface="+mn-cs"/>
            </a:defRPr>
          </a:pPr>
          <a:endParaRPr lang="ja-JP"/>
        </a:p>
      </c:txPr>
    </c:title>
    <c:autoTitleDeleted val="0"/>
    <c:plotArea>
      <c:layout/>
      <c:barChart>
        <c:barDir val="bar"/>
        <c:grouping val="clustered"/>
        <c:varyColors val="0"/>
        <c:ser>
          <c:idx val="0"/>
          <c:order val="0"/>
          <c:tx>
            <c:strRef>
              <c:f>'グラフ(疾患名)'!$O$23</c:f>
              <c:strCache>
                <c:ptCount val="1"/>
                <c:pt idx="0">
                  <c:v>人数</c:v>
                </c:pt>
              </c:strCache>
            </c:strRef>
          </c:tx>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invertIfNegative val="0"/>
          <c:dPt>
            <c:idx val="0"/>
            <c:invertIfNegative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4173-4866-8F21-C79DD1F99DAE}"/>
              </c:ext>
            </c:extLst>
          </c:dPt>
          <c:dPt>
            <c:idx val="1"/>
            <c:invertIfNegative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4173-4866-8F21-C79DD1F99DAE}"/>
              </c:ext>
            </c:extLst>
          </c:dPt>
          <c:dPt>
            <c:idx val="2"/>
            <c:invertIfNegative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5-4173-4866-8F21-C79DD1F99DAE}"/>
              </c:ext>
            </c:extLst>
          </c:dPt>
          <c:dPt>
            <c:idx val="3"/>
            <c:invertIfNegative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7-4173-4866-8F21-C79DD1F99DAE}"/>
              </c:ext>
            </c:extLst>
          </c:dPt>
          <c:dPt>
            <c:idx val="4"/>
            <c:invertIfNegative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9-4173-4866-8F21-C79DD1F99DAE}"/>
              </c:ext>
            </c:extLst>
          </c:dPt>
          <c:dPt>
            <c:idx val="5"/>
            <c:invertIfNegative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B-4173-4866-8F21-C79DD1F99DAE}"/>
              </c:ext>
            </c:extLst>
          </c:dPt>
          <c:dPt>
            <c:idx val="6"/>
            <c:invertIfNegative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D-4173-4866-8F21-C79DD1F99DAE}"/>
              </c:ext>
            </c:extLst>
          </c:dPt>
          <c:dPt>
            <c:idx val="7"/>
            <c:invertIfNegative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F-4173-4866-8F21-C79DD1F99DAE}"/>
              </c:ext>
            </c:extLst>
          </c:dPt>
          <c:dPt>
            <c:idx val="8"/>
            <c:invertIfNegative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1-4173-4866-8F21-C79DD1F99DAE}"/>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'グラフ(疾患名)'!$T$5:$T$16</c:f>
              <c:strCache>
                <c:ptCount val="12"/>
                <c:pt idx="0">
                  <c:v>F0</c:v>
                </c:pt>
                <c:pt idx="1">
                  <c:v>F1</c:v>
                </c:pt>
                <c:pt idx="2">
                  <c:v>F2</c:v>
                </c:pt>
                <c:pt idx="3">
                  <c:v>F3</c:v>
                </c:pt>
                <c:pt idx="4">
                  <c:v>F4</c:v>
                </c:pt>
                <c:pt idx="5">
                  <c:v>F5</c:v>
                </c:pt>
                <c:pt idx="6">
                  <c:v>F6</c:v>
                </c:pt>
                <c:pt idx="7">
                  <c:v>F7</c:v>
                </c:pt>
                <c:pt idx="8">
                  <c:v>F8</c:v>
                </c:pt>
                <c:pt idx="9">
                  <c:v>F9</c:v>
                </c:pt>
                <c:pt idx="10">
                  <c:v>てんかん</c:v>
                </c:pt>
                <c:pt idx="11">
                  <c:v>その他</c:v>
                </c:pt>
              </c:strCache>
            </c:strRef>
          </c:cat>
          <c:val>
            <c:numRef>
              <c:f>'グラフ(疾患名)'!$O$24:$O$35</c:f>
              <c:numCache>
                <c:formatCode>#,##0"人"</c:formatCode>
                <c:ptCount val="12"/>
                <c:pt idx="0">
                  <c:v>2117</c:v>
                </c:pt>
                <c:pt idx="1">
                  <c:v>329</c:v>
                </c:pt>
                <c:pt idx="2">
                  <c:v>5271</c:v>
                </c:pt>
                <c:pt idx="3">
                  <c:v>625</c:v>
                </c:pt>
                <c:pt idx="4">
                  <c:v>74</c:v>
                </c:pt>
                <c:pt idx="5">
                  <c:v>5</c:v>
                </c:pt>
                <c:pt idx="6">
                  <c:v>18</c:v>
                </c:pt>
                <c:pt idx="7">
                  <c:v>152</c:v>
                </c:pt>
                <c:pt idx="8">
                  <c:v>47</c:v>
                </c:pt>
                <c:pt idx="9">
                  <c:v>9</c:v>
                </c:pt>
                <c:pt idx="10">
                  <c:v>36</c:v>
                </c:pt>
                <c:pt idx="11">
                  <c:v>81</c:v>
                </c:pt>
              </c:numCache>
            </c:numRef>
          </c:val>
          <c:extLst>
            <c:ext xmlns:c16="http://schemas.microsoft.com/office/drawing/2014/chart" uri="{C3380CC4-5D6E-409C-BE32-E72D297353CC}">
              <c16:uniqueId val="{00000012-4173-4866-8F21-C79DD1F99DAE}"/>
            </c:ext>
          </c:extLst>
        </c:ser>
        <c:dLbls>
          <c:showLegendKey val="0"/>
          <c:showVal val="0"/>
          <c:showCatName val="0"/>
          <c:showSerName val="0"/>
          <c:showPercent val="0"/>
          <c:showBubbleSize val="0"/>
        </c:dLbls>
        <c:gapWidth val="100"/>
        <c:axId val="630611664"/>
        <c:axId val="630606256"/>
      </c:barChart>
      <c:valAx>
        <c:axId val="630606256"/>
        <c:scaling>
          <c:orientation val="minMax"/>
        </c:scaling>
        <c:delete val="0"/>
        <c:axPos val="t"/>
        <c:majorGridlines>
          <c:spPr>
            <a:ln w="9525" cap="flat" cmpd="sng" algn="ctr">
              <a:solidFill>
                <a:schemeClr val="tx1">
                  <a:lumMod val="15000"/>
                  <a:lumOff val="85000"/>
                </a:schemeClr>
              </a:solidFill>
              <a:round/>
            </a:ln>
            <a:effectLst/>
          </c:spPr>
        </c:majorGridlines>
        <c:numFmt formatCode="#,##0&quot;人&quot;"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630611664"/>
        <c:crosses val="autoZero"/>
        <c:crossBetween val="between"/>
      </c:valAx>
      <c:catAx>
        <c:axId val="630611664"/>
        <c:scaling>
          <c:orientation val="maxMin"/>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ja-JP"/>
          </a:p>
        </c:txPr>
        <c:crossAx val="630606256"/>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withinLinearReversed" id="25">
  <a:schemeClr val="accent5"/>
</cs:colorStyle>
</file>

<file path=xl/charts/colors2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withinLinearReversed" id="24">
  <a:schemeClr val="accent4"/>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335">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335">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39.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_rels/drawing41.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42.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43.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4" Type="http://schemas.openxmlformats.org/officeDocument/2006/relationships/chart" Target="../charts/chart20.xml"/></Relationships>
</file>

<file path=xl/drawings/_rels/drawing44.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45.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17</xdr:col>
          <xdr:colOff>257175</xdr:colOff>
          <xdr:row>1</xdr:row>
          <xdr:rowOff>238125</xdr:rowOff>
        </xdr:from>
        <xdr:to>
          <xdr:col>18</xdr:col>
          <xdr:colOff>476250</xdr:colOff>
          <xdr:row>3</xdr:row>
          <xdr:rowOff>161925</xdr:rowOff>
        </xdr:to>
        <xdr:sp macro="" textlink="">
          <xdr:nvSpPr>
            <xdr:cNvPr id="6145" name="Button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66CC"/>
                  </a:solidFill>
                  <a:latin typeface="メイリオ"/>
                  <a:ea typeface="メイリオ"/>
                </a:rPr>
                <a:t>データ削除</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371475</xdr:colOff>
          <xdr:row>1</xdr:row>
          <xdr:rowOff>114300</xdr:rowOff>
        </xdr:from>
        <xdr:to>
          <xdr:col>5</xdr:col>
          <xdr:colOff>57150</xdr:colOff>
          <xdr:row>3</xdr:row>
          <xdr:rowOff>19050</xdr:rowOff>
        </xdr:to>
        <xdr:sp macro="" textlink="">
          <xdr:nvSpPr>
            <xdr:cNvPr id="15361" name="Button 1" hidden="1">
              <a:extLst>
                <a:ext uri="{63B3BB69-23CF-44E3-9099-C40C66FF867C}">
                  <a14:compatExt spid="_x0000_s15361"/>
                </a:ext>
                <a:ext uri="{FF2B5EF4-FFF2-40B4-BE49-F238E27FC236}">
                  <a16:creationId xmlns:a16="http://schemas.microsoft.com/office/drawing/2014/main" id="{00000000-0008-0000-0A00-0000013C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66CC"/>
                  </a:solidFill>
                  <a:latin typeface="メイリオ"/>
                  <a:ea typeface="メイリオ"/>
                </a:rPr>
                <a:t>データ削除</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0</xdr:colOff>
          <xdr:row>3</xdr:row>
          <xdr:rowOff>190500</xdr:rowOff>
        </xdr:from>
        <xdr:to>
          <xdr:col>11</xdr:col>
          <xdr:colOff>2105025</xdr:colOff>
          <xdr:row>5</xdr:row>
          <xdr:rowOff>200025</xdr:rowOff>
        </xdr:to>
        <xdr:sp macro="" textlink="">
          <xdr:nvSpPr>
            <xdr:cNvPr id="16385" name="Button 1" hidden="1">
              <a:extLst>
                <a:ext uri="{63B3BB69-23CF-44E3-9099-C40C66FF867C}">
                  <a14:compatExt spid="_x0000_s16385"/>
                </a:ext>
                <a:ext uri="{FF2B5EF4-FFF2-40B4-BE49-F238E27FC236}">
                  <a16:creationId xmlns:a16="http://schemas.microsoft.com/office/drawing/2014/main" id="{00000000-0008-0000-0B00-00000140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200" b="0" i="0" u="none" strike="noStrike" baseline="0">
                  <a:solidFill>
                    <a:srgbClr val="0066CC"/>
                  </a:solidFill>
                  <a:latin typeface="メイリオ"/>
                  <a:ea typeface="メイリオ"/>
                </a:rPr>
                <a:t>データ削除</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533400</xdr:colOff>
          <xdr:row>2</xdr:row>
          <xdr:rowOff>76200</xdr:rowOff>
        </xdr:from>
        <xdr:to>
          <xdr:col>16</xdr:col>
          <xdr:colOff>561975</xdr:colOff>
          <xdr:row>4</xdr:row>
          <xdr:rowOff>47625</xdr:rowOff>
        </xdr:to>
        <xdr:sp macro="" textlink="">
          <xdr:nvSpPr>
            <xdr:cNvPr id="17409" name="Button 1" hidden="1">
              <a:extLst>
                <a:ext uri="{63B3BB69-23CF-44E3-9099-C40C66FF867C}">
                  <a14:compatExt spid="_x0000_s17409"/>
                </a:ext>
                <a:ext uri="{FF2B5EF4-FFF2-40B4-BE49-F238E27FC236}">
                  <a16:creationId xmlns:a16="http://schemas.microsoft.com/office/drawing/2014/main" id="{00000000-0008-0000-0C00-00000144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200" b="0" i="0" u="none" strike="noStrike" baseline="0">
                  <a:solidFill>
                    <a:srgbClr val="0066CC"/>
                  </a:solidFill>
                  <a:latin typeface="メイリオ"/>
                  <a:ea typeface="メイリオ"/>
                </a:rPr>
                <a:t>データ削除</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628650</xdr:colOff>
          <xdr:row>3</xdr:row>
          <xdr:rowOff>47625</xdr:rowOff>
        </xdr:from>
        <xdr:to>
          <xdr:col>9</xdr:col>
          <xdr:colOff>409575</xdr:colOff>
          <xdr:row>5</xdr:row>
          <xdr:rowOff>47625</xdr:rowOff>
        </xdr:to>
        <xdr:sp macro="" textlink="">
          <xdr:nvSpPr>
            <xdr:cNvPr id="18433" name="Button 1" hidden="1">
              <a:extLst>
                <a:ext uri="{63B3BB69-23CF-44E3-9099-C40C66FF867C}">
                  <a14:compatExt spid="_x0000_s18433"/>
                </a:ext>
                <a:ext uri="{FF2B5EF4-FFF2-40B4-BE49-F238E27FC236}">
                  <a16:creationId xmlns:a16="http://schemas.microsoft.com/office/drawing/2014/main" id="{00000000-0008-0000-0D00-00000148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66CC"/>
                  </a:solidFill>
                  <a:latin typeface="メイリオ"/>
                  <a:ea typeface="メイリオ"/>
                </a:rPr>
                <a:t>データ削除</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552450</xdr:colOff>
          <xdr:row>4</xdr:row>
          <xdr:rowOff>19050</xdr:rowOff>
        </xdr:from>
        <xdr:to>
          <xdr:col>13</xdr:col>
          <xdr:colOff>533400</xdr:colOff>
          <xdr:row>5</xdr:row>
          <xdr:rowOff>228600</xdr:rowOff>
        </xdr:to>
        <xdr:sp macro="" textlink="">
          <xdr:nvSpPr>
            <xdr:cNvPr id="19457" name="Button 1" hidden="1">
              <a:extLst>
                <a:ext uri="{63B3BB69-23CF-44E3-9099-C40C66FF867C}">
                  <a14:compatExt spid="_x0000_s19457"/>
                </a:ext>
                <a:ext uri="{FF2B5EF4-FFF2-40B4-BE49-F238E27FC236}">
                  <a16:creationId xmlns:a16="http://schemas.microsoft.com/office/drawing/2014/main" id="{00000000-0008-0000-0E00-0000014C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66CC"/>
                  </a:solidFill>
                  <a:latin typeface="メイリオ"/>
                  <a:ea typeface="メイリオ"/>
                </a:rPr>
                <a:t>データ削除</a:t>
              </a:r>
            </a:p>
          </xdr:txBody>
        </xdr:sp>
        <xdr:clientData fPrintsWithSheet="0"/>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14</xdr:col>
          <xdr:colOff>152400</xdr:colOff>
          <xdr:row>0</xdr:row>
          <xdr:rowOff>238125</xdr:rowOff>
        </xdr:from>
        <xdr:to>
          <xdr:col>15</xdr:col>
          <xdr:colOff>457200</xdr:colOff>
          <xdr:row>2</xdr:row>
          <xdr:rowOff>104775</xdr:rowOff>
        </xdr:to>
        <xdr:sp macro="" textlink="">
          <xdr:nvSpPr>
            <xdr:cNvPr id="20481" name="Button 1" hidden="1">
              <a:extLst>
                <a:ext uri="{63B3BB69-23CF-44E3-9099-C40C66FF867C}">
                  <a14:compatExt spid="_x0000_s20481"/>
                </a:ext>
                <a:ext uri="{FF2B5EF4-FFF2-40B4-BE49-F238E27FC236}">
                  <a16:creationId xmlns:a16="http://schemas.microsoft.com/office/drawing/2014/main" id="{00000000-0008-0000-0F00-00000150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66CC"/>
                  </a:solidFill>
                  <a:latin typeface="メイリオ"/>
                  <a:ea typeface="メイリオ"/>
                </a:rPr>
                <a:t>データ削除</a:t>
              </a:r>
            </a:p>
          </xdr:txBody>
        </xdr:sp>
        <xdr:clientData fPrintsWithSheet="0"/>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371475</xdr:colOff>
          <xdr:row>2</xdr:row>
          <xdr:rowOff>228600</xdr:rowOff>
        </xdr:from>
        <xdr:to>
          <xdr:col>8</xdr:col>
          <xdr:colOff>47625</xdr:colOff>
          <xdr:row>5</xdr:row>
          <xdr:rowOff>0</xdr:rowOff>
        </xdr:to>
        <xdr:sp macro="" textlink="">
          <xdr:nvSpPr>
            <xdr:cNvPr id="21505" name="Button 1" hidden="1">
              <a:extLst>
                <a:ext uri="{63B3BB69-23CF-44E3-9099-C40C66FF867C}">
                  <a14:compatExt spid="_x0000_s21505"/>
                </a:ext>
                <a:ext uri="{FF2B5EF4-FFF2-40B4-BE49-F238E27FC236}">
                  <a16:creationId xmlns:a16="http://schemas.microsoft.com/office/drawing/2014/main" id="{00000000-0008-0000-1000-00000154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66CC"/>
                  </a:solidFill>
                  <a:latin typeface="メイリオ"/>
                  <a:ea typeface="メイリオ"/>
                </a:rPr>
                <a:t>データ削除</a:t>
              </a:r>
            </a:p>
          </xdr:txBody>
        </xdr:sp>
        <xdr:clientData fPrintsWithSheet="0"/>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361950</xdr:colOff>
          <xdr:row>3</xdr:row>
          <xdr:rowOff>9525</xdr:rowOff>
        </xdr:from>
        <xdr:to>
          <xdr:col>13</xdr:col>
          <xdr:colOff>304800</xdr:colOff>
          <xdr:row>4</xdr:row>
          <xdr:rowOff>276225</xdr:rowOff>
        </xdr:to>
        <xdr:sp macro="" textlink="">
          <xdr:nvSpPr>
            <xdr:cNvPr id="22529" name="Button 1" hidden="1">
              <a:extLst>
                <a:ext uri="{63B3BB69-23CF-44E3-9099-C40C66FF867C}">
                  <a14:compatExt spid="_x0000_s22529"/>
                </a:ext>
                <a:ext uri="{FF2B5EF4-FFF2-40B4-BE49-F238E27FC236}">
                  <a16:creationId xmlns:a16="http://schemas.microsoft.com/office/drawing/2014/main" id="{00000000-0008-0000-1100-00000158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66CC"/>
                  </a:solidFill>
                  <a:latin typeface="メイリオ"/>
                  <a:ea typeface="メイリオ"/>
                </a:rPr>
                <a:t>データ削除</a:t>
              </a:r>
            </a:p>
          </xdr:txBody>
        </xdr:sp>
        <xdr:clientData fPrintsWithSheet="0"/>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133350</xdr:colOff>
          <xdr:row>2</xdr:row>
          <xdr:rowOff>9525</xdr:rowOff>
        </xdr:from>
        <xdr:to>
          <xdr:col>12</xdr:col>
          <xdr:colOff>9525</xdr:colOff>
          <xdr:row>3</xdr:row>
          <xdr:rowOff>285750</xdr:rowOff>
        </xdr:to>
        <xdr:sp macro="" textlink="">
          <xdr:nvSpPr>
            <xdr:cNvPr id="23554" name="Button 2" hidden="1">
              <a:extLst>
                <a:ext uri="{63B3BB69-23CF-44E3-9099-C40C66FF867C}">
                  <a14:compatExt spid="_x0000_s23554"/>
                </a:ext>
                <a:ext uri="{FF2B5EF4-FFF2-40B4-BE49-F238E27FC236}">
                  <a16:creationId xmlns:a16="http://schemas.microsoft.com/office/drawing/2014/main" id="{00000000-0008-0000-1200-0000025C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66CC"/>
                  </a:solidFill>
                  <a:latin typeface="メイリオ"/>
                  <a:ea typeface="メイリオ"/>
                </a:rPr>
                <a:t>データ削除</a:t>
              </a:r>
            </a:p>
          </xdr:txBody>
        </xdr:sp>
        <xdr:clientData fPrintsWithSheet="0"/>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28</xdr:col>
          <xdr:colOff>409575</xdr:colOff>
          <xdr:row>3</xdr:row>
          <xdr:rowOff>57150</xdr:rowOff>
        </xdr:from>
        <xdr:to>
          <xdr:col>31</xdr:col>
          <xdr:colOff>142875</xdr:colOff>
          <xdr:row>4</xdr:row>
          <xdr:rowOff>57150</xdr:rowOff>
        </xdr:to>
        <xdr:sp macro="" textlink="">
          <xdr:nvSpPr>
            <xdr:cNvPr id="24578" name="Button 2" hidden="1">
              <a:extLst>
                <a:ext uri="{63B3BB69-23CF-44E3-9099-C40C66FF867C}">
                  <a14:compatExt spid="_x0000_s24578"/>
                </a:ext>
                <a:ext uri="{FF2B5EF4-FFF2-40B4-BE49-F238E27FC236}">
                  <a16:creationId xmlns:a16="http://schemas.microsoft.com/office/drawing/2014/main" id="{00000000-0008-0000-1300-00000260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66CC"/>
                  </a:solidFill>
                  <a:latin typeface="メイリオ"/>
                  <a:ea typeface="メイリオ"/>
                </a:rPr>
                <a:t>データ削除</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533400</xdr:colOff>
          <xdr:row>2</xdr:row>
          <xdr:rowOff>152400</xdr:rowOff>
        </xdr:from>
        <xdr:to>
          <xdr:col>13</xdr:col>
          <xdr:colOff>285750</xdr:colOff>
          <xdr:row>5</xdr:row>
          <xdr:rowOff>9525</xdr:rowOff>
        </xdr:to>
        <xdr:sp macro="" textlink="">
          <xdr:nvSpPr>
            <xdr:cNvPr id="7169" name="Button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66CC"/>
                  </a:solidFill>
                  <a:latin typeface="メイリオ"/>
                  <a:ea typeface="メイリオ"/>
                </a:rPr>
                <a:t>データ削除</a:t>
              </a:r>
            </a:p>
          </xdr:txBody>
        </xdr:sp>
        <xdr:clientData fPrintsWithSheet="0"/>
      </xdr:twoCellAnchor>
    </mc:Choice>
    <mc:Fallback/>
  </mc:AlternateContent>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581025</xdr:colOff>
          <xdr:row>3</xdr:row>
          <xdr:rowOff>285750</xdr:rowOff>
        </xdr:from>
        <xdr:to>
          <xdr:col>32</xdr:col>
          <xdr:colOff>85725</xdr:colOff>
          <xdr:row>4</xdr:row>
          <xdr:rowOff>171450</xdr:rowOff>
        </xdr:to>
        <xdr:sp macro="" textlink="">
          <xdr:nvSpPr>
            <xdr:cNvPr id="25601" name="Button 1" hidden="1">
              <a:extLst>
                <a:ext uri="{63B3BB69-23CF-44E3-9099-C40C66FF867C}">
                  <a14:compatExt spid="_x0000_s25601"/>
                </a:ext>
                <a:ext uri="{FF2B5EF4-FFF2-40B4-BE49-F238E27FC236}">
                  <a16:creationId xmlns:a16="http://schemas.microsoft.com/office/drawing/2014/main" id="{00000000-0008-0000-1400-00000164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66CC"/>
                  </a:solidFill>
                  <a:latin typeface="メイリオ"/>
                  <a:ea typeface="メイリオ"/>
                </a:rPr>
                <a:t>データ削除</a:t>
              </a:r>
            </a:p>
          </xdr:txBody>
        </xdr:sp>
        <xdr:clientData fPrintsWithSheet="0"/>
      </xdr:twoCellAnchor>
    </mc:Choice>
    <mc:Fallback/>
  </mc:AlternateContent>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51</xdr:col>
          <xdr:colOff>200025</xdr:colOff>
          <xdr:row>1</xdr:row>
          <xdr:rowOff>180975</xdr:rowOff>
        </xdr:from>
        <xdr:to>
          <xdr:col>53</xdr:col>
          <xdr:colOff>581025</xdr:colOff>
          <xdr:row>3</xdr:row>
          <xdr:rowOff>219075</xdr:rowOff>
        </xdr:to>
        <xdr:sp macro="" textlink="">
          <xdr:nvSpPr>
            <xdr:cNvPr id="26625" name="Button 1" hidden="1">
              <a:extLst>
                <a:ext uri="{63B3BB69-23CF-44E3-9099-C40C66FF867C}">
                  <a14:compatExt spid="_x0000_s26625"/>
                </a:ext>
                <a:ext uri="{FF2B5EF4-FFF2-40B4-BE49-F238E27FC236}">
                  <a16:creationId xmlns:a16="http://schemas.microsoft.com/office/drawing/2014/main" id="{00000000-0008-0000-1500-00000168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66CC"/>
                  </a:solidFill>
                  <a:latin typeface="メイリオ"/>
                  <a:ea typeface="メイリオ"/>
                </a:rPr>
                <a:t>データ削除</a:t>
              </a:r>
            </a:p>
          </xdr:txBody>
        </xdr:sp>
        <xdr:clientData fPrintsWithSheet="0"/>
      </xdr:twoCellAnchor>
    </mc:Choice>
    <mc:Fallback/>
  </mc:AlternateContent>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31</xdr:col>
          <xdr:colOff>438150</xdr:colOff>
          <xdr:row>3</xdr:row>
          <xdr:rowOff>0</xdr:rowOff>
        </xdr:from>
        <xdr:to>
          <xdr:col>34</xdr:col>
          <xdr:colOff>266700</xdr:colOff>
          <xdr:row>5</xdr:row>
          <xdr:rowOff>57150</xdr:rowOff>
        </xdr:to>
        <xdr:sp macro="" textlink="">
          <xdr:nvSpPr>
            <xdr:cNvPr id="27649" name="Button 1" hidden="1">
              <a:extLst>
                <a:ext uri="{63B3BB69-23CF-44E3-9099-C40C66FF867C}">
                  <a14:compatExt spid="_x0000_s27649"/>
                </a:ext>
                <a:ext uri="{FF2B5EF4-FFF2-40B4-BE49-F238E27FC236}">
                  <a16:creationId xmlns:a16="http://schemas.microsoft.com/office/drawing/2014/main" id="{00000000-0008-0000-1600-0000016C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66CC"/>
                  </a:solidFill>
                  <a:latin typeface="メイリオ"/>
                  <a:ea typeface="メイリオ"/>
                </a:rPr>
                <a:t>データ削除</a:t>
              </a:r>
            </a:p>
          </xdr:txBody>
        </xdr:sp>
        <xdr:clientData fPrintsWithSheet="0"/>
      </xdr:twoCellAnchor>
    </mc:Choice>
    <mc:Fallback/>
  </mc:AlternateContent>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31</xdr:col>
          <xdr:colOff>447675</xdr:colOff>
          <xdr:row>3</xdr:row>
          <xdr:rowOff>180975</xdr:rowOff>
        </xdr:from>
        <xdr:to>
          <xdr:col>34</xdr:col>
          <xdr:colOff>333375</xdr:colOff>
          <xdr:row>6</xdr:row>
          <xdr:rowOff>0</xdr:rowOff>
        </xdr:to>
        <xdr:sp macro="" textlink="">
          <xdr:nvSpPr>
            <xdr:cNvPr id="28673" name="Button 1" hidden="1">
              <a:extLst>
                <a:ext uri="{63B3BB69-23CF-44E3-9099-C40C66FF867C}">
                  <a14:compatExt spid="_x0000_s28673"/>
                </a:ext>
                <a:ext uri="{FF2B5EF4-FFF2-40B4-BE49-F238E27FC236}">
                  <a16:creationId xmlns:a16="http://schemas.microsoft.com/office/drawing/2014/main" id="{00000000-0008-0000-1700-00000170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66CC"/>
                  </a:solidFill>
                  <a:latin typeface="メイリオ"/>
                  <a:ea typeface="メイリオ"/>
                </a:rPr>
                <a:t>データ削除</a:t>
              </a:r>
            </a:p>
          </xdr:txBody>
        </xdr:sp>
        <xdr:clientData fPrintsWithSheet="0"/>
      </xdr:twoCellAnchor>
    </mc:Choice>
    <mc:Fallback/>
  </mc:AlternateContent>
</xdr:wsDr>
</file>

<file path=xl/drawings/drawing2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31</xdr:col>
          <xdr:colOff>361950</xdr:colOff>
          <xdr:row>2</xdr:row>
          <xdr:rowOff>180975</xdr:rowOff>
        </xdr:from>
        <xdr:to>
          <xdr:col>34</xdr:col>
          <xdr:colOff>504825</xdr:colOff>
          <xdr:row>5</xdr:row>
          <xdr:rowOff>38100</xdr:rowOff>
        </xdr:to>
        <xdr:sp macro="" textlink="">
          <xdr:nvSpPr>
            <xdr:cNvPr id="29697" name="Button 1" hidden="1">
              <a:extLst>
                <a:ext uri="{63B3BB69-23CF-44E3-9099-C40C66FF867C}">
                  <a14:compatExt spid="_x0000_s29697"/>
                </a:ext>
                <a:ext uri="{FF2B5EF4-FFF2-40B4-BE49-F238E27FC236}">
                  <a16:creationId xmlns:a16="http://schemas.microsoft.com/office/drawing/2014/main" id="{00000000-0008-0000-1800-00000174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66CC"/>
                  </a:solidFill>
                  <a:latin typeface="メイリオ"/>
                  <a:ea typeface="メイリオ"/>
                </a:rPr>
                <a:t>データ削除</a:t>
              </a:r>
            </a:p>
          </xdr:txBody>
        </xdr:sp>
        <xdr:clientData fPrintsWithSheet="0"/>
      </xdr:twoCellAnchor>
    </mc:Choice>
    <mc:Fallback/>
  </mc:AlternateContent>
</xdr:wsDr>
</file>

<file path=xl/drawings/drawing2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33</xdr:col>
          <xdr:colOff>304800</xdr:colOff>
          <xdr:row>2</xdr:row>
          <xdr:rowOff>85725</xdr:rowOff>
        </xdr:from>
        <xdr:to>
          <xdr:col>34</xdr:col>
          <xdr:colOff>723900</xdr:colOff>
          <xdr:row>4</xdr:row>
          <xdr:rowOff>200025</xdr:rowOff>
        </xdr:to>
        <xdr:sp macro="" textlink="">
          <xdr:nvSpPr>
            <xdr:cNvPr id="36865" name="Button 1" hidden="1">
              <a:extLst>
                <a:ext uri="{63B3BB69-23CF-44E3-9099-C40C66FF867C}">
                  <a14:compatExt spid="_x0000_s36865"/>
                </a:ext>
                <a:ext uri="{FF2B5EF4-FFF2-40B4-BE49-F238E27FC236}">
                  <a16:creationId xmlns:a16="http://schemas.microsoft.com/office/drawing/2014/main" id="{00000000-0008-0000-1900-00000190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メイリオ"/>
                  <a:ea typeface="メイリオ"/>
                </a:rPr>
                <a:t>データ削除</a:t>
              </a:r>
            </a:p>
          </xdr:txBody>
        </xdr:sp>
        <xdr:clientData fPrintsWithSheet="0"/>
      </xdr:twoCellAnchor>
    </mc:Choice>
    <mc:Fallback/>
  </mc:AlternateContent>
</xdr:wsDr>
</file>

<file path=xl/drawings/drawing2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723900</xdr:colOff>
          <xdr:row>0</xdr:row>
          <xdr:rowOff>76200</xdr:rowOff>
        </xdr:from>
        <xdr:to>
          <xdr:col>31</xdr:col>
          <xdr:colOff>495300</xdr:colOff>
          <xdr:row>1</xdr:row>
          <xdr:rowOff>123825</xdr:rowOff>
        </xdr:to>
        <xdr:sp macro="" textlink="">
          <xdr:nvSpPr>
            <xdr:cNvPr id="37889" name="Button 1" hidden="1">
              <a:extLst>
                <a:ext uri="{63B3BB69-23CF-44E3-9099-C40C66FF867C}">
                  <a14:compatExt spid="_x0000_s37889"/>
                </a:ext>
                <a:ext uri="{FF2B5EF4-FFF2-40B4-BE49-F238E27FC236}">
                  <a16:creationId xmlns:a16="http://schemas.microsoft.com/office/drawing/2014/main" id="{00000000-0008-0000-1A00-00000194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メイリオ"/>
                  <a:ea typeface="メイリオ"/>
                </a:rPr>
                <a:t>データ削除</a:t>
              </a:r>
            </a:p>
          </xdr:txBody>
        </xdr:sp>
        <xdr:clientData fPrintsWithSheet="0"/>
      </xdr:twoCellAnchor>
    </mc:Choice>
    <mc:Fallback/>
  </mc:AlternateContent>
</xdr:wsDr>
</file>

<file path=xl/drawings/drawing2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33</xdr:col>
          <xdr:colOff>190500</xdr:colOff>
          <xdr:row>3</xdr:row>
          <xdr:rowOff>228600</xdr:rowOff>
        </xdr:from>
        <xdr:to>
          <xdr:col>34</xdr:col>
          <xdr:colOff>657225</xdr:colOff>
          <xdr:row>6</xdr:row>
          <xdr:rowOff>95250</xdr:rowOff>
        </xdr:to>
        <xdr:sp macro="" textlink="">
          <xdr:nvSpPr>
            <xdr:cNvPr id="38913" name="Button 1" hidden="1">
              <a:extLst>
                <a:ext uri="{63B3BB69-23CF-44E3-9099-C40C66FF867C}">
                  <a14:compatExt spid="_x0000_s38913"/>
                </a:ext>
                <a:ext uri="{FF2B5EF4-FFF2-40B4-BE49-F238E27FC236}">
                  <a16:creationId xmlns:a16="http://schemas.microsoft.com/office/drawing/2014/main" id="{00000000-0008-0000-1B00-00000198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メイリオ"/>
                  <a:ea typeface="メイリオ"/>
                </a:rPr>
                <a:t>データ削除</a:t>
              </a:r>
            </a:p>
          </xdr:txBody>
        </xdr:sp>
        <xdr:clientData fPrintsWithSheet="0"/>
      </xdr:twoCellAnchor>
    </mc:Choice>
    <mc:Fallback/>
  </mc:AlternateContent>
</xdr:wsDr>
</file>

<file path=xl/drawings/drawing2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190500</xdr:colOff>
          <xdr:row>49</xdr:row>
          <xdr:rowOff>28575</xdr:rowOff>
        </xdr:from>
        <xdr:to>
          <xdr:col>22</xdr:col>
          <xdr:colOff>733425</xdr:colOff>
          <xdr:row>52</xdr:row>
          <xdr:rowOff>28575</xdr:rowOff>
        </xdr:to>
        <xdr:sp macro="" textlink="">
          <xdr:nvSpPr>
            <xdr:cNvPr id="39937" name="Button 1" hidden="1">
              <a:extLst>
                <a:ext uri="{63B3BB69-23CF-44E3-9099-C40C66FF867C}">
                  <a14:compatExt spid="_x0000_s39937"/>
                </a:ext>
                <a:ext uri="{FF2B5EF4-FFF2-40B4-BE49-F238E27FC236}">
                  <a16:creationId xmlns:a16="http://schemas.microsoft.com/office/drawing/2014/main" id="{00000000-0008-0000-1C00-0000019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データ削除</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304800</xdr:colOff>
          <xdr:row>21</xdr:row>
          <xdr:rowOff>57150</xdr:rowOff>
        </xdr:from>
        <xdr:to>
          <xdr:col>13</xdr:col>
          <xdr:colOff>657225</xdr:colOff>
          <xdr:row>23</xdr:row>
          <xdr:rowOff>161925</xdr:rowOff>
        </xdr:to>
        <xdr:sp macro="" textlink="">
          <xdr:nvSpPr>
            <xdr:cNvPr id="39939" name="Button 3" hidden="1">
              <a:extLst>
                <a:ext uri="{63B3BB69-23CF-44E3-9099-C40C66FF867C}">
                  <a14:compatExt spid="_x0000_s39939"/>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メイリオ"/>
                  <a:ea typeface="メイリオ"/>
                </a:rPr>
                <a:t>データ削除</a:t>
              </a:r>
            </a:p>
          </xdr:txBody>
        </xdr:sp>
        <xdr:clientData fPrintsWithSheet="0"/>
      </xdr:twoCellAnchor>
    </mc:Choice>
    <mc:Fallback/>
  </mc:AlternateContent>
</xdr:wsDr>
</file>

<file path=xl/drawings/drawing2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276225</xdr:colOff>
          <xdr:row>12</xdr:row>
          <xdr:rowOff>66675</xdr:rowOff>
        </xdr:from>
        <xdr:to>
          <xdr:col>14</xdr:col>
          <xdr:colOff>581025</xdr:colOff>
          <xdr:row>14</xdr:row>
          <xdr:rowOff>123825</xdr:rowOff>
        </xdr:to>
        <xdr:sp macro="" textlink="">
          <xdr:nvSpPr>
            <xdr:cNvPr id="67585" name="Button 1" hidden="1">
              <a:extLst>
                <a:ext uri="{63B3BB69-23CF-44E3-9099-C40C66FF867C}">
                  <a14:compatExt spid="_x0000_s67585"/>
                </a:ext>
                <a:ext uri="{FF2B5EF4-FFF2-40B4-BE49-F238E27FC236}">
                  <a16:creationId xmlns:a16="http://schemas.microsoft.com/office/drawing/2014/main" id="{00000000-0008-0000-1D00-000001A0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メイリオ"/>
                  <a:ea typeface="メイリオ"/>
                </a:rPr>
                <a:t>データ削除</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133350</xdr:colOff>
          <xdr:row>23</xdr:row>
          <xdr:rowOff>28575</xdr:rowOff>
        </xdr:from>
        <xdr:to>
          <xdr:col>11</xdr:col>
          <xdr:colOff>85725</xdr:colOff>
          <xdr:row>25</xdr:row>
          <xdr:rowOff>76200</xdr:rowOff>
        </xdr:to>
        <xdr:sp macro="" textlink="">
          <xdr:nvSpPr>
            <xdr:cNvPr id="8193" name="Button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66CC"/>
                  </a:solidFill>
                  <a:latin typeface="メイリオ"/>
                  <a:ea typeface="メイリオ"/>
                </a:rPr>
                <a:t>データ削除</a:t>
              </a:r>
            </a:p>
          </xdr:txBody>
        </xdr:sp>
        <xdr:clientData fPrintsWithSheet="0"/>
      </xdr:twoCellAnchor>
    </mc:Choice>
    <mc:Fallback/>
  </mc:AlternateContent>
</xdr:wsDr>
</file>

<file path=xl/drawings/drawing3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32</xdr:col>
          <xdr:colOff>466725</xdr:colOff>
          <xdr:row>1</xdr:row>
          <xdr:rowOff>190500</xdr:rowOff>
        </xdr:from>
        <xdr:to>
          <xdr:col>36</xdr:col>
          <xdr:colOff>57150</xdr:colOff>
          <xdr:row>4</xdr:row>
          <xdr:rowOff>95250</xdr:rowOff>
        </xdr:to>
        <xdr:sp macro="" textlink="">
          <xdr:nvSpPr>
            <xdr:cNvPr id="41985" name="Button 1" hidden="1">
              <a:extLst>
                <a:ext uri="{63B3BB69-23CF-44E3-9099-C40C66FF867C}">
                  <a14:compatExt spid="_x0000_s41985"/>
                </a:ext>
                <a:ext uri="{FF2B5EF4-FFF2-40B4-BE49-F238E27FC236}">
                  <a16:creationId xmlns:a16="http://schemas.microsoft.com/office/drawing/2014/main" id="{00000000-0008-0000-1E00-000001A4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メイリオ"/>
                  <a:ea typeface="メイリオ"/>
                </a:rPr>
                <a:t>データ削除</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47</xdr:row>
          <xdr:rowOff>66675</xdr:rowOff>
        </xdr:from>
        <xdr:to>
          <xdr:col>14</xdr:col>
          <xdr:colOff>180975</xdr:colOff>
          <xdr:row>49</xdr:row>
          <xdr:rowOff>123825</xdr:rowOff>
        </xdr:to>
        <xdr:sp macro="" textlink="">
          <xdr:nvSpPr>
            <xdr:cNvPr id="41986" name="Button 2" hidden="1">
              <a:extLst>
                <a:ext uri="{63B3BB69-23CF-44E3-9099-C40C66FF867C}">
                  <a14:compatExt spid="_x0000_s41986"/>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メイリオ"/>
                  <a:ea typeface="メイリオ"/>
                </a:rPr>
                <a:t>データ削除</a:t>
              </a:r>
            </a:p>
          </xdr:txBody>
        </xdr:sp>
        <xdr:clientData fPrintsWithSheet="0"/>
      </xdr:twoCellAnchor>
    </mc:Choice>
    <mc:Fallback/>
  </mc:AlternateContent>
</xdr:wsDr>
</file>

<file path=xl/drawings/drawing3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542925</xdr:colOff>
          <xdr:row>21</xdr:row>
          <xdr:rowOff>114300</xdr:rowOff>
        </xdr:from>
        <xdr:to>
          <xdr:col>14</xdr:col>
          <xdr:colOff>914400</xdr:colOff>
          <xdr:row>23</xdr:row>
          <xdr:rowOff>133350</xdr:rowOff>
        </xdr:to>
        <xdr:sp macro="" textlink="">
          <xdr:nvSpPr>
            <xdr:cNvPr id="43009" name="Button 1" hidden="1">
              <a:extLst>
                <a:ext uri="{63B3BB69-23CF-44E3-9099-C40C66FF867C}">
                  <a14:compatExt spid="_x0000_s43009"/>
                </a:ext>
                <a:ext uri="{FF2B5EF4-FFF2-40B4-BE49-F238E27FC236}">
                  <a16:creationId xmlns:a16="http://schemas.microsoft.com/office/drawing/2014/main" id="{00000000-0008-0000-1F00-000001A80000}"/>
                </a:ext>
              </a:extLst>
            </xdr:cNvPr>
            <xdr:cNvSpPr/>
          </xdr:nvSpPr>
          <xdr:spPr bwMode="auto">
            <a:xfrm>
              <a:off x="0" y="0"/>
              <a:ext cx="0" cy="0"/>
            </a:xfrm>
            <a:prstGeom prst="rect">
              <a:avLst/>
            </a:prstGeom>
            <a:noFill/>
            <a:ln w="9525">
              <a:miter lim="800000"/>
              <a:headEnd/>
              <a:tailEnd/>
            </a:ln>
          </xdr:spPr>
          <xdr:txBody>
            <a:bodyPr vertOverflow="clip" wrap="square" lIns="36576" tIns="50292" rIns="36576" bIns="50292" anchor="ctr" upright="1"/>
            <a:lstStyle/>
            <a:p>
              <a:pPr algn="ctr" rtl="0">
                <a:defRPr sz="1000"/>
              </a:pPr>
              <a:r>
                <a:rPr lang="ja-JP" altLang="en-US" sz="1400" b="0" i="0" u="none" strike="noStrike" baseline="0">
                  <a:solidFill>
                    <a:srgbClr val="000000"/>
                  </a:solidFill>
                  <a:latin typeface="メイリオ"/>
                  <a:ea typeface="メイリオ"/>
                </a:rPr>
                <a:t>データ削除</a:t>
              </a:r>
            </a:p>
          </xdr:txBody>
        </xdr:sp>
        <xdr:clientData fPrintsWithSheet="0"/>
      </xdr:twoCellAnchor>
    </mc:Choice>
    <mc:Fallback/>
  </mc:AlternateContent>
</xdr:wsDr>
</file>

<file path=xl/drawings/drawing3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180975</xdr:colOff>
          <xdr:row>13</xdr:row>
          <xdr:rowOff>114300</xdr:rowOff>
        </xdr:from>
        <xdr:to>
          <xdr:col>15</xdr:col>
          <xdr:colOff>447675</xdr:colOff>
          <xdr:row>16</xdr:row>
          <xdr:rowOff>0</xdr:rowOff>
        </xdr:to>
        <xdr:sp macro="" textlink="">
          <xdr:nvSpPr>
            <xdr:cNvPr id="44033" name="Button 1" hidden="1">
              <a:extLst>
                <a:ext uri="{63B3BB69-23CF-44E3-9099-C40C66FF867C}">
                  <a14:compatExt spid="_x0000_s44033"/>
                </a:ext>
                <a:ext uri="{FF2B5EF4-FFF2-40B4-BE49-F238E27FC236}">
                  <a16:creationId xmlns:a16="http://schemas.microsoft.com/office/drawing/2014/main" id="{00000000-0008-0000-2000-000001AC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メイリオ"/>
                  <a:ea typeface="メイリオ"/>
                </a:rPr>
                <a:t>データ削除</a:t>
              </a:r>
            </a:p>
          </xdr:txBody>
        </xdr:sp>
        <xdr:clientData fPrintsWithSheet="0"/>
      </xdr:twoCellAnchor>
    </mc:Choice>
    <mc:Fallback/>
  </mc:AlternateContent>
</xdr:wsDr>
</file>

<file path=xl/drawings/drawing3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28575</xdr:colOff>
          <xdr:row>24</xdr:row>
          <xdr:rowOff>28575</xdr:rowOff>
        </xdr:from>
        <xdr:to>
          <xdr:col>15</xdr:col>
          <xdr:colOff>238125</xdr:colOff>
          <xdr:row>26</xdr:row>
          <xdr:rowOff>190500</xdr:rowOff>
        </xdr:to>
        <xdr:sp macro="" textlink="">
          <xdr:nvSpPr>
            <xdr:cNvPr id="45057" name="Button 1" hidden="1">
              <a:extLst>
                <a:ext uri="{63B3BB69-23CF-44E3-9099-C40C66FF867C}">
                  <a14:compatExt spid="_x0000_s45057"/>
                </a:ext>
                <a:ext uri="{FF2B5EF4-FFF2-40B4-BE49-F238E27FC236}">
                  <a16:creationId xmlns:a16="http://schemas.microsoft.com/office/drawing/2014/main" id="{00000000-0008-0000-2100-000001B0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200" b="0" i="0" u="none" strike="noStrike" baseline="0">
                  <a:solidFill>
                    <a:srgbClr val="000000"/>
                  </a:solidFill>
                  <a:latin typeface="メイリオ"/>
                  <a:ea typeface="メイリオ"/>
                </a:rPr>
                <a:t>データ削除</a:t>
              </a:r>
            </a:p>
          </xdr:txBody>
        </xdr:sp>
        <xdr:clientData fPrintsWithSheet="0"/>
      </xdr:twoCellAnchor>
    </mc:Choice>
    <mc:Fallback/>
  </mc:AlternateContent>
</xdr:wsDr>
</file>

<file path=xl/drawings/drawing3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495300</xdr:colOff>
          <xdr:row>21</xdr:row>
          <xdr:rowOff>219075</xdr:rowOff>
        </xdr:from>
        <xdr:to>
          <xdr:col>15</xdr:col>
          <xdr:colOff>57150</xdr:colOff>
          <xdr:row>25</xdr:row>
          <xdr:rowOff>38100</xdr:rowOff>
        </xdr:to>
        <xdr:sp macro="" textlink="">
          <xdr:nvSpPr>
            <xdr:cNvPr id="46081" name="Button 1" hidden="1">
              <a:extLst>
                <a:ext uri="{63B3BB69-23CF-44E3-9099-C40C66FF867C}">
                  <a14:compatExt spid="_x0000_s46081"/>
                </a:ext>
                <a:ext uri="{FF2B5EF4-FFF2-40B4-BE49-F238E27FC236}">
                  <a16:creationId xmlns:a16="http://schemas.microsoft.com/office/drawing/2014/main" id="{00000000-0008-0000-2200-000001B40000}"/>
                </a:ext>
              </a:extLst>
            </xdr:cNvPr>
            <xdr:cNvSpPr/>
          </xdr:nvSpPr>
          <xdr:spPr bwMode="auto">
            <a:xfrm>
              <a:off x="0" y="0"/>
              <a:ext cx="0" cy="0"/>
            </a:xfrm>
            <a:prstGeom prst="rect">
              <a:avLst/>
            </a:prstGeom>
            <a:noFill/>
            <a:ln w="9525">
              <a:miter lim="800000"/>
              <a:headEnd/>
              <a:tailEnd/>
            </a:ln>
          </xdr:spPr>
          <xdr:txBody>
            <a:bodyPr vertOverflow="clip" wrap="square" lIns="36576" tIns="50292" rIns="36576" bIns="50292" anchor="ctr" upright="1"/>
            <a:lstStyle/>
            <a:p>
              <a:pPr algn="ctr" rtl="0">
                <a:defRPr sz="1000"/>
              </a:pPr>
              <a:r>
                <a:rPr lang="ja-JP" altLang="en-US" sz="1400" b="0" i="0" u="none" strike="noStrike" baseline="0">
                  <a:solidFill>
                    <a:srgbClr val="000000"/>
                  </a:solidFill>
                  <a:latin typeface="メイリオ"/>
                  <a:ea typeface="メイリオ"/>
                </a:rPr>
                <a:t>データ削除</a:t>
              </a:r>
            </a:p>
          </xdr:txBody>
        </xdr:sp>
        <xdr:clientData fPrintsWithSheet="0"/>
      </xdr:twoCellAnchor>
    </mc:Choice>
    <mc:Fallback/>
  </mc:AlternateContent>
</xdr:wsDr>
</file>

<file path=xl/drawings/drawing3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447675</xdr:colOff>
          <xdr:row>11</xdr:row>
          <xdr:rowOff>85725</xdr:rowOff>
        </xdr:from>
        <xdr:to>
          <xdr:col>15</xdr:col>
          <xdr:colOff>66675</xdr:colOff>
          <xdr:row>13</xdr:row>
          <xdr:rowOff>219075</xdr:rowOff>
        </xdr:to>
        <xdr:sp macro="" textlink="">
          <xdr:nvSpPr>
            <xdr:cNvPr id="47105" name="Button 1" hidden="1">
              <a:extLst>
                <a:ext uri="{63B3BB69-23CF-44E3-9099-C40C66FF867C}">
                  <a14:compatExt spid="_x0000_s47105"/>
                </a:ext>
                <a:ext uri="{FF2B5EF4-FFF2-40B4-BE49-F238E27FC236}">
                  <a16:creationId xmlns:a16="http://schemas.microsoft.com/office/drawing/2014/main" id="{00000000-0008-0000-2300-000001B8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メイリオ"/>
                  <a:ea typeface="メイリオ"/>
                </a:rPr>
                <a:t>データ削除</a:t>
              </a:r>
            </a:p>
          </xdr:txBody>
        </xdr:sp>
        <xdr:clientData fPrintsWithSheet="0"/>
      </xdr:twoCellAnchor>
    </mc:Choice>
    <mc:Fallback/>
  </mc:AlternateContent>
</xdr:wsDr>
</file>

<file path=xl/drawings/drawing3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123825</xdr:colOff>
          <xdr:row>45</xdr:row>
          <xdr:rowOff>209550</xdr:rowOff>
        </xdr:from>
        <xdr:to>
          <xdr:col>15</xdr:col>
          <xdr:colOff>333375</xdr:colOff>
          <xdr:row>48</xdr:row>
          <xdr:rowOff>104775</xdr:rowOff>
        </xdr:to>
        <xdr:sp macro="" textlink="">
          <xdr:nvSpPr>
            <xdr:cNvPr id="57346" name="Button 2" hidden="1">
              <a:extLst>
                <a:ext uri="{63B3BB69-23CF-44E3-9099-C40C66FF867C}">
                  <a14:compatExt spid="_x0000_s57346"/>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0000"/>
                  </a:solidFill>
                  <a:latin typeface="メイリオ"/>
                  <a:ea typeface="メイリオ"/>
                </a:rPr>
                <a:t>データ削除</a:t>
              </a:r>
            </a:p>
          </xdr:txBody>
        </xdr:sp>
        <xdr:clientData fPrintsWithSheet="0"/>
      </xdr:twoCellAnchor>
    </mc:Choice>
    <mc:Fallback/>
  </mc:AlternateContent>
</xdr:wsDr>
</file>

<file path=xl/drawings/drawing3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276225</xdr:colOff>
          <xdr:row>0</xdr:row>
          <xdr:rowOff>104775</xdr:rowOff>
        </xdr:from>
        <xdr:to>
          <xdr:col>15</xdr:col>
          <xdr:colOff>466725</xdr:colOff>
          <xdr:row>2</xdr:row>
          <xdr:rowOff>95250</xdr:rowOff>
        </xdr:to>
        <xdr:sp macro="" textlink="">
          <xdr:nvSpPr>
            <xdr:cNvPr id="49153" name="Button 1" hidden="1">
              <a:extLst>
                <a:ext uri="{63B3BB69-23CF-44E3-9099-C40C66FF867C}">
                  <a14:compatExt spid="_x0000_s49153"/>
                </a:ext>
                <a:ext uri="{FF2B5EF4-FFF2-40B4-BE49-F238E27FC236}">
                  <a16:creationId xmlns:a16="http://schemas.microsoft.com/office/drawing/2014/main" id="{00000000-0008-0000-2500-000001C0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200" b="0" i="0" u="none" strike="noStrike" baseline="0">
                  <a:solidFill>
                    <a:srgbClr val="000000"/>
                  </a:solidFill>
                  <a:latin typeface="メイリオ"/>
                  <a:ea typeface="メイリオ"/>
                </a:rPr>
                <a:t>データ削除</a:t>
              </a:r>
            </a:p>
          </xdr:txBody>
        </xdr:sp>
        <xdr:clientData fPrintsWithSheet="0"/>
      </xdr:twoCellAnchor>
    </mc:Choice>
    <mc:Fallback/>
  </mc:AlternateContent>
</xdr:wsDr>
</file>

<file path=xl/drawings/drawing3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18</xdr:col>
          <xdr:colOff>371475</xdr:colOff>
          <xdr:row>1</xdr:row>
          <xdr:rowOff>104775</xdr:rowOff>
        </xdr:from>
        <xdr:to>
          <xdr:col>22</xdr:col>
          <xdr:colOff>552450</xdr:colOff>
          <xdr:row>3</xdr:row>
          <xdr:rowOff>104775</xdr:rowOff>
        </xdr:to>
        <xdr:sp macro="" textlink="">
          <xdr:nvSpPr>
            <xdr:cNvPr id="58370" name="Button 2" hidden="1">
              <a:extLst>
                <a:ext uri="{63B3BB69-23CF-44E3-9099-C40C66FF867C}">
                  <a14:compatExt spid="_x0000_s5837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200" b="0" i="0" u="none" strike="noStrike" baseline="0">
                  <a:solidFill>
                    <a:srgbClr val="000000"/>
                  </a:solidFill>
                  <a:latin typeface="メイリオ"/>
                  <a:ea typeface="メイリオ"/>
                </a:rPr>
                <a:t>データ削除</a:t>
              </a:r>
            </a:p>
          </xdr:txBody>
        </xdr:sp>
        <xdr:clientData fPrintsWithSheet="0"/>
      </xdr:twoCellAnchor>
    </mc:Choice>
    <mc:Fallback/>
  </mc:AlternateContent>
</xdr:wsDr>
</file>

<file path=xl/drawings/drawing39.xml><?xml version="1.0" encoding="utf-8"?>
<xdr:wsDr xmlns:xdr="http://schemas.openxmlformats.org/drawingml/2006/spreadsheetDrawing" xmlns:a="http://schemas.openxmlformats.org/drawingml/2006/main">
  <xdr:twoCellAnchor>
    <xdr:from>
      <xdr:col>0</xdr:col>
      <xdr:colOff>225137</xdr:colOff>
      <xdr:row>2</xdr:row>
      <xdr:rowOff>98496</xdr:rowOff>
    </xdr:from>
    <xdr:to>
      <xdr:col>5</xdr:col>
      <xdr:colOff>129981</xdr:colOff>
      <xdr:row>19</xdr:row>
      <xdr:rowOff>144809</xdr:rowOff>
    </xdr:to>
    <xdr:graphicFrame macro="">
      <xdr:nvGraphicFramePr>
        <xdr:cNvPr id="2" name="グラフ 1">
          <a:extLst>
            <a:ext uri="{FF2B5EF4-FFF2-40B4-BE49-F238E27FC236}">
              <a16:creationId xmlns:a16="http://schemas.microsoft.com/office/drawing/2014/main" id="{00000000-0008-0000-2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353722</xdr:colOff>
      <xdr:row>2</xdr:row>
      <xdr:rowOff>115164</xdr:rowOff>
    </xdr:from>
    <xdr:to>
      <xdr:col>10</xdr:col>
      <xdr:colOff>437159</xdr:colOff>
      <xdr:row>19</xdr:row>
      <xdr:rowOff>161477</xdr:rowOff>
    </xdr:to>
    <xdr:graphicFrame macro="">
      <xdr:nvGraphicFramePr>
        <xdr:cNvPr id="3" name="グラフ 2">
          <a:extLst>
            <a:ext uri="{FF2B5EF4-FFF2-40B4-BE49-F238E27FC236}">
              <a16:creationId xmlns:a16="http://schemas.microsoft.com/office/drawing/2014/main" id="{00000000-0008-0000-2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215395</xdr:colOff>
      <xdr:row>22</xdr:row>
      <xdr:rowOff>63860</xdr:rowOff>
    </xdr:from>
    <xdr:to>
      <xdr:col>5</xdr:col>
      <xdr:colOff>120239</xdr:colOff>
      <xdr:row>40</xdr:row>
      <xdr:rowOff>43295</xdr:rowOff>
    </xdr:to>
    <xdr:graphicFrame macro="">
      <xdr:nvGraphicFramePr>
        <xdr:cNvPr id="4" name="グラフ 3">
          <a:extLst>
            <a:ext uri="{FF2B5EF4-FFF2-40B4-BE49-F238E27FC236}">
              <a16:creationId xmlns:a16="http://schemas.microsoft.com/office/drawing/2014/main" id="{00000000-0008-0000-2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343980</xdr:colOff>
      <xdr:row>22</xdr:row>
      <xdr:rowOff>149800</xdr:rowOff>
    </xdr:from>
    <xdr:to>
      <xdr:col>10</xdr:col>
      <xdr:colOff>427417</xdr:colOff>
      <xdr:row>40</xdr:row>
      <xdr:rowOff>22931</xdr:rowOff>
    </xdr:to>
    <xdr:graphicFrame macro="">
      <xdr:nvGraphicFramePr>
        <xdr:cNvPr id="5" name="グラフ 4">
          <a:extLst>
            <a:ext uri="{FF2B5EF4-FFF2-40B4-BE49-F238E27FC236}">
              <a16:creationId xmlns:a16="http://schemas.microsoft.com/office/drawing/2014/main" id="{00000000-0008-0000-2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214315</xdr:colOff>
      <xdr:row>0</xdr:row>
      <xdr:rowOff>83342</xdr:rowOff>
    </xdr:from>
    <xdr:to>
      <xdr:col>3</xdr:col>
      <xdr:colOff>464343</xdr:colOff>
      <xdr:row>2</xdr:row>
      <xdr:rowOff>83342</xdr:rowOff>
    </xdr:to>
    <xdr:sp macro="" textlink="">
      <xdr:nvSpPr>
        <xdr:cNvPr id="6" name="テキスト ボックス 5">
          <a:extLst>
            <a:ext uri="{FF2B5EF4-FFF2-40B4-BE49-F238E27FC236}">
              <a16:creationId xmlns:a16="http://schemas.microsoft.com/office/drawing/2014/main" id="{00000000-0008-0000-2700-000006000000}"/>
            </a:ext>
          </a:extLst>
        </xdr:cNvPr>
        <xdr:cNvSpPr txBox="1"/>
      </xdr:nvSpPr>
      <xdr:spPr>
        <a:xfrm>
          <a:off x="214315" y="83342"/>
          <a:ext cx="2135978" cy="342900"/>
        </a:xfrm>
        <a:prstGeom prst="round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メイリオ" panose="020B0604030504040204" pitchFamily="50" charset="-128"/>
              <a:ea typeface="メイリオ" panose="020B0604030504040204" pitchFamily="50" charset="-128"/>
            </a:rPr>
            <a:t>年齢区分　患者全体</a:t>
          </a:r>
        </a:p>
      </xdr:txBody>
    </xdr:sp>
    <xdr:clientData/>
  </xdr:twoCellAnchor>
  <xdr:twoCellAnchor>
    <xdr:from>
      <xdr:col>0</xdr:col>
      <xdr:colOff>198076</xdr:colOff>
      <xdr:row>20</xdr:row>
      <xdr:rowOff>60614</xdr:rowOff>
    </xdr:from>
    <xdr:to>
      <xdr:col>3</xdr:col>
      <xdr:colOff>448104</xdr:colOff>
      <xdr:row>22</xdr:row>
      <xdr:rowOff>60613</xdr:rowOff>
    </xdr:to>
    <xdr:sp macro="" textlink="">
      <xdr:nvSpPr>
        <xdr:cNvPr id="7" name="テキスト ボックス 6">
          <a:extLst>
            <a:ext uri="{FF2B5EF4-FFF2-40B4-BE49-F238E27FC236}">
              <a16:creationId xmlns:a16="http://schemas.microsoft.com/office/drawing/2014/main" id="{00000000-0008-0000-2700-000007000000}"/>
            </a:ext>
          </a:extLst>
        </xdr:cNvPr>
        <xdr:cNvSpPr txBox="1"/>
      </xdr:nvSpPr>
      <xdr:spPr>
        <a:xfrm>
          <a:off x="198076" y="3524250"/>
          <a:ext cx="2146369" cy="346363"/>
        </a:xfrm>
        <a:prstGeom prst="round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メイリオ" panose="020B0604030504040204" pitchFamily="50" charset="-128"/>
              <a:ea typeface="メイリオ" panose="020B0604030504040204" pitchFamily="50" charset="-128"/>
            </a:rPr>
            <a:t>年齢区分　一年以上</a:t>
          </a:r>
        </a:p>
      </xdr:txBody>
    </xdr:sp>
    <xdr:clientData/>
  </xdr:twoCellAnchor>
  <xdr:twoCellAnchor>
    <xdr:from>
      <xdr:col>0</xdr:col>
      <xdr:colOff>199159</xdr:colOff>
      <xdr:row>43</xdr:row>
      <xdr:rowOff>46543</xdr:rowOff>
    </xdr:from>
    <xdr:to>
      <xdr:col>5</xdr:col>
      <xdr:colOff>104003</xdr:colOff>
      <xdr:row>60</xdr:row>
      <xdr:rowOff>92856</xdr:rowOff>
    </xdr:to>
    <xdr:graphicFrame macro="">
      <xdr:nvGraphicFramePr>
        <xdr:cNvPr id="8" name="グラフ 7">
          <a:extLst>
            <a:ext uri="{FF2B5EF4-FFF2-40B4-BE49-F238E27FC236}">
              <a16:creationId xmlns:a16="http://schemas.microsoft.com/office/drawing/2014/main" id="{00000000-0008-0000-2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327744</xdr:colOff>
      <xdr:row>43</xdr:row>
      <xdr:rowOff>63211</xdr:rowOff>
    </xdr:from>
    <xdr:to>
      <xdr:col>10</xdr:col>
      <xdr:colOff>411181</xdr:colOff>
      <xdr:row>60</xdr:row>
      <xdr:rowOff>109524</xdr:rowOff>
    </xdr:to>
    <xdr:graphicFrame macro="">
      <xdr:nvGraphicFramePr>
        <xdr:cNvPr id="9" name="グラフ 8">
          <a:extLst>
            <a:ext uri="{FF2B5EF4-FFF2-40B4-BE49-F238E27FC236}">
              <a16:creationId xmlns:a16="http://schemas.microsoft.com/office/drawing/2014/main" id="{00000000-0008-0000-27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190500</xdr:colOff>
      <xdr:row>41</xdr:row>
      <xdr:rowOff>51955</xdr:rowOff>
    </xdr:from>
    <xdr:to>
      <xdr:col>3</xdr:col>
      <xdr:colOff>440528</xdr:colOff>
      <xdr:row>43</xdr:row>
      <xdr:rowOff>51955</xdr:rowOff>
    </xdr:to>
    <xdr:sp macro="" textlink="">
      <xdr:nvSpPr>
        <xdr:cNvPr id="10" name="テキスト ボックス 9">
          <a:extLst>
            <a:ext uri="{FF2B5EF4-FFF2-40B4-BE49-F238E27FC236}">
              <a16:creationId xmlns:a16="http://schemas.microsoft.com/office/drawing/2014/main" id="{00000000-0008-0000-2700-00000A000000}"/>
            </a:ext>
          </a:extLst>
        </xdr:cNvPr>
        <xdr:cNvSpPr txBox="1"/>
      </xdr:nvSpPr>
      <xdr:spPr>
        <a:xfrm>
          <a:off x="190500" y="7152410"/>
          <a:ext cx="2146369" cy="346363"/>
        </a:xfrm>
        <a:prstGeom prst="roundRect">
          <a:avLst/>
        </a:prstGeom>
        <a:solidFill>
          <a:srgbClr val="FAFDD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メイリオ" panose="020B0604030504040204" pitchFamily="50" charset="-128"/>
              <a:ea typeface="メイリオ" panose="020B0604030504040204" pitchFamily="50" charset="-128"/>
            </a:rPr>
            <a:t>年齢区分　</a:t>
          </a:r>
          <a:r>
            <a:rPr kumimoji="1" lang="en-US" altLang="ja-JP" sz="1400" b="1">
              <a:latin typeface="メイリオ" panose="020B0604030504040204" pitchFamily="50" charset="-128"/>
              <a:ea typeface="メイリオ" panose="020B0604030504040204" pitchFamily="50" charset="-128"/>
            </a:rPr>
            <a:t>65</a:t>
          </a:r>
          <a:r>
            <a:rPr kumimoji="1" lang="ja-JP" altLang="en-US" sz="1400" b="1">
              <a:latin typeface="メイリオ" panose="020B0604030504040204" pitchFamily="50" charset="-128"/>
              <a:ea typeface="メイリオ" panose="020B0604030504040204" pitchFamily="50" charset="-128"/>
            </a:rPr>
            <a:t>歳以上</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17</xdr:col>
          <xdr:colOff>561975</xdr:colOff>
          <xdr:row>2</xdr:row>
          <xdr:rowOff>219075</xdr:rowOff>
        </xdr:from>
        <xdr:to>
          <xdr:col>20</xdr:col>
          <xdr:colOff>333375</xdr:colOff>
          <xdr:row>4</xdr:row>
          <xdr:rowOff>180975</xdr:rowOff>
        </xdr:to>
        <xdr:sp macro="" textlink="">
          <xdr:nvSpPr>
            <xdr:cNvPr id="9217" name="Button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66CC"/>
                  </a:solidFill>
                  <a:latin typeface="メイリオ"/>
                  <a:ea typeface="メイリオ"/>
                </a:rPr>
                <a:t>データ削除</a:t>
              </a:r>
            </a:p>
          </xdr:txBody>
        </xdr:sp>
        <xdr:clientData fPrintsWithSheet="0"/>
      </xdr:twoCellAnchor>
    </mc:Choice>
    <mc:Fallback/>
  </mc:AlternateContent>
</xdr:wsDr>
</file>

<file path=xl/drawings/drawing40.xml><?xml version="1.0" encoding="utf-8"?>
<xdr:wsDr xmlns:xdr="http://schemas.openxmlformats.org/drawingml/2006/spreadsheetDrawing" xmlns:a="http://schemas.openxmlformats.org/drawingml/2006/main">
  <xdr:twoCellAnchor>
    <xdr:from>
      <xdr:col>0</xdr:col>
      <xdr:colOff>225137</xdr:colOff>
      <xdr:row>2</xdr:row>
      <xdr:rowOff>98496</xdr:rowOff>
    </xdr:from>
    <xdr:to>
      <xdr:col>5</xdr:col>
      <xdr:colOff>129981</xdr:colOff>
      <xdr:row>19</xdr:row>
      <xdr:rowOff>144809</xdr:rowOff>
    </xdr:to>
    <xdr:graphicFrame macro="">
      <xdr:nvGraphicFramePr>
        <xdr:cNvPr id="2" name="グラフ 1">
          <a:extLst>
            <a:ext uri="{FF2B5EF4-FFF2-40B4-BE49-F238E27FC236}">
              <a16:creationId xmlns:a16="http://schemas.microsoft.com/office/drawing/2014/main" id="{00000000-0008-0000-2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353722</xdr:colOff>
      <xdr:row>2</xdr:row>
      <xdr:rowOff>115164</xdr:rowOff>
    </xdr:from>
    <xdr:to>
      <xdr:col>10</xdr:col>
      <xdr:colOff>437159</xdr:colOff>
      <xdr:row>19</xdr:row>
      <xdr:rowOff>161477</xdr:rowOff>
    </xdr:to>
    <xdr:graphicFrame macro="">
      <xdr:nvGraphicFramePr>
        <xdr:cNvPr id="3" name="グラフ 2">
          <a:extLst>
            <a:ext uri="{FF2B5EF4-FFF2-40B4-BE49-F238E27FC236}">
              <a16:creationId xmlns:a16="http://schemas.microsoft.com/office/drawing/2014/main" id="{00000000-0008-0000-2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215395</xdr:colOff>
      <xdr:row>22</xdr:row>
      <xdr:rowOff>63860</xdr:rowOff>
    </xdr:from>
    <xdr:to>
      <xdr:col>5</xdr:col>
      <xdr:colOff>120239</xdr:colOff>
      <xdr:row>39</xdr:row>
      <xdr:rowOff>110173</xdr:rowOff>
    </xdr:to>
    <xdr:graphicFrame macro="">
      <xdr:nvGraphicFramePr>
        <xdr:cNvPr id="4" name="グラフ 3">
          <a:extLst>
            <a:ext uri="{FF2B5EF4-FFF2-40B4-BE49-F238E27FC236}">
              <a16:creationId xmlns:a16="http://schemas.microsoft.com/office/drawing/2014/main" id="{00000000-0008-0000-2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214315</xdr:colOff>
      <xdr:row>0</xdr:row>
      <xdr:rowOff>83342</xdr:rowOff>
    </xdr:from>
    <xdr:to>
      <xdr:col>3</xdr:col>
      <xdr:colOff>464343</xdr:colOff>
      <xdr:row>2</xdr:row>
      <xdr:rowOff>83342</xdr:rowOff>
    </xdr:to>
    <xdr:sp macro="" textlink="">
      <xdr:nvSpPr>
        <xdr:cNvPr id="6" name="テキスト ボックス 5">
          <a:extLst>
            <a:ext uri="{FF2B5EF4-FFF2-40B4-BE49-F238E27FC236}">
              <a16:creationId xmlns:a16="http://schemas.microsoft.com/office/drawing/2014/main" id="{00000000-0008-0000-2800-000006000000}"/>
            </a:ext>
          </a:extLst>
        </xdr:cNvPr>
        <xdr:cNvSpPr txBox="1"/>
      </xdr:nvSpPr>
      <xdr:spPr>
        <a:xfrm>
          <a:off x="214315" y="83342"/>
          <a:ext cx="2135978" cy="342900"/>
        </a:xfrm>
        <a:prstGeom prst="round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メイリオ" panose="020B0604030504040204" pitchFamily="50" charset="-128"/>
              <a:ea typeface="メイリオ" panose="020B0604030504040204" pitchFamily="50" charset="-128"/>
            </a:rPr>
            <a:t>疾患別　患者全体</a:t>
          </a:r>
        </a:p>
      </xdr:txBody>
    </xdr:sp>
    <xdr:clientData/>
  </xdr:twoCellAnchor>
  <xdr:twoCellAnchor>
    <xdr:from>
      <xdr:col>0</xdr:col>
      <xdr:colOff>198076</xdr:colOff>
      <xdr:row>20</xdr:row>
      <xdr:rowOff>60614</xdr:rowOff>
    </xdr:from>
    <xdr:to>
      <xdr:col>3</xdr:col>
      <xdr:colOff>448104</xdr:colOff>
      <xdr:row>22</xdr:row>
      <xdr:rowOff>60613</xdr:rowOff>
    </xdr:to>
    <xdr:sp macro="" textlink="">
      <xdr:nvSpPr>
        <xdr:cNvPr id="7" name="テキスト ボックス 6">
          <a:extLst>
            <a:ext uri="{FF2B5EF4-FFF2-40B4-BE49-F238E27FC236}">
              <a16:creationId xmlns:a16="http://schemas.microsoft.com/office/drawing/2014/main" id="{00000000-0008-0000-2800-000007000000}"/>
            </a:ext>
          </a:extLst>
        </xdr:cNvPr>
        <xdr:cNvSpPr txBox="1"/>
      </xdr:nvSpPr>
      <xdr:spPr>
        <a:xfrm>
          <a:off x="198076" y="3489614"/>
          <a:ext cx="2135978" cy="342899"/>
        </a:xfrm>
        <a:prstGeom prst="round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メイリオ" panose="020B0604030504040204" pitchFamily="50" charset="-128"/>
              <a:ea typeface="メイリオ" panose="020B0604030504040204" pitchFamily="50" charset="-128"/>
            </a:rPr>
            <a:t>疾患別　一年以上</a:t>
          </a:r>
        </a:p>
      </xdr:txBody>
    </xdr:sp>
    <xdr:clientData/>
  </xdr:twoCellAnchor>
  <xdr:twoCellAnchor>
    <xdr:from>
      <xdr:col>0</xdr:col>
      <xdr:colOff>199159</xdr:colOff>
      <xdr:row>43</xdr:row>
      <xdr:rowOff>46543</xdr:rowOff>
    </xdr:from>
    <xdr:to>
      <xdr:col>5</xdr:col>
      <xdr:colOff>104003</xdr:colOff>
      <xdr:row>60</xdr:row>
      <xdr:rowOff>92856</xdr:rowOff>
    </xdr:to>
    <xdr:graphicFrame macro="">
      <xdr:nvGraphicFramePr>
        <xdr:cNvPr id="8" name="グラフ 7">
          <a:extLst>
            <a:ext uri="{FF2B5EF4-FFF2-40B4-BE49-F238E27FC236}">
              <a16:creationId xmlns:a16="http://schemas.microsoft.com/office/drawing/2014/main" id="{00000000-0008-0000-28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327744</xdr:colOff>
      <xdr:row>43</xdr:row>
      <xdr:rowOff>63211</xdr:rowOff>
    </xdr:from>
    <xdr:to>
      <xdr:col>10</xdr:col>
      <xdr:colOff>411181</xdr:colOff>
      <xdr:row>60</xdr:row>
      <xdr:rowOff>109524</xdr:rowOff>
    </xdr:to>
    <xdr:graphicFrame macro="">
      <xdr:nvGraphicFramePr>
        <xdr:cNvPr id="9" name="グラフ 8">
          <a:extLst>
            <a:ext uri="{FF2B5EF4-FFF2-40B4-BE49-F238E27FC236}">
              <a16:creationId xmlns:a16="http://schemas.microsoft.com/office/drawing/2014/main" id="{00000000-0008-0000-28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190500</xdr:colOff>
      <xdr:row>41</xdr:row>
      <xdr:rowOff>51955</xdr:rowOff>
    </xdr:from>
    <xdr:to>
      <xdr:col>3</xdr:col>
      <xdr:colOff>440528</xdr:colOff>
      <xdr:row>43</xdr:row>
      <xdr:rowOff>51955</xdr:rowOff>
    </xdr:to>
    <xdr:sp macro="" textlink="">
      <xdr:nvSpPr>
        <xdr:cNvPr id="10" name="テキスト ボックス 9">
          <a:extLst>
            <a:ext uri="{FF2B5EF4-FFF2-40B4-BE49-F238E27FC236}">
              <a16:creationId xmlns:a16="http://schemas.microsoft.com/office/drawing/2014/main" id="{00000000-0008-0000-2800-00000A000000}"/>
            </a:ext>
          </a:extLst>
        </xdr:cNvPr>
        <xdr:cNvSpPr txBox="1"/>
      </xdr:nvSpPr>
      <xdr:spPr>
        <a:xfrm>
          <a:off x="190500" y="7081405"/>
          <a:ext cx="2135978" cy="342900"/>
        </a:xfrm>
        <a:prstGeom prst="roundRect">
          <a:avLst/>
        </a:prstGeom>
        <a:solidFill>
          <a:srgbClr val="FAFDD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メイリオ" panose="020B0604030504040204" pitchFamily="50" charset="-128"/>
              <a:ea typeface="メイリオ" panose="020B0604030504040204" pitchFamily="50" charset="-128"/>
            </a:rPr>
            <a:t>疾患別　</a:t>
          </a:r>
          <a:r>
            <a:rPr kumimoji="1" lang="en-US" altLang="ja-JP" sz="1400" b="1">
              <a:latin typeface="メイリオ" panose="020B0604030504040204" pitchFamily="50" charset="-128"/>
              <a:ea typeface="メイリオ" panose="020B0604030504040204" pitchFamily="50" charset="-128"/>
            </a:rPr>
            <a:t>65</a:t>
          </a:r>
          <a:r>
            <a:rPr kumimoji="1" lang="ja-JP" altLang="en-US" sz="1400" b="1">
              <a:latin typeface="メイリオ" panose="020B0604030504040204" pitchFamily="50" charset="-128"/>
              <a:ea typeface="メイリオ" panose="020B0604030504040204" pitchFamily="50" charset="-128"/>
            </a:rPr>
            <a:t>歳以上</a:t>
          </a:r>
        </a:p>
      </xdr:txBody>
    </xdr:sp>
    <xdr:clientData/>
  </xdr:twoCellAnchor>
  <xdr:twoCellAnchor>
    <xdr:from>
      <xdr:col>5</xdr:col>
      <xdr:colOff>337705</xdr:colOff>
      <xdr:row>22</xdr:row>
      <xdr:rowOff>69273</xdr:rowOff>
    </xdr:from>
    <xdr:to>
      <xdr:col>10</xdr:col>
      <xdr:colOff>415730</xdr:colOff>
      <xdr:row>39</xdr:row>
      <xdr:rowOff>115586</xdr:rowOff>
    </xdr:to>
    <xdr:graphicFrame macro="">
      <xdr:nvGraphicFramePr>
        <xdr:cNvPr id="11" name="グラフ 10">
          <a:extLst>
            <a:ext uri="{FF2B5EF4-FFF2-40B4-BE49-F238E27FC236}">
              <a16:creationId xmlns:a16="http://schemas.microsoft.com/office/drawing/2014/main" id="{00000000-0008-0000-28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xdr:from>
      <xdr:col>0</xdr:col>
      <xdr:colOff>284786</xdr:colOff>
      <xdr:row>2</xdr:row>
      <xdr:rowOff>167790</xdr:rowOff>
    </xdr:from>
    <xdr:to>
      <xdr:col>9</xdr:col>
      <xdr:colOff>287786</xdr:colOff>
      <xdr:row>20</xdr:row>
      <xdr:rowOff>106290</xdr:rowOff>
    </xdr:to>
    <xdr:graphicFrame macro="">
      <xdr:nvGraphicFramePr>
        <xdr:cNvPr id="11" name="グラフ 10">
          <a:extLst>
            <a:ext uri="{FF2B5EF4-FFF2-40B4-BE49-F238E27FC236}">
              <a16:creationId xmlns:a16="http://schemas.microsoft.com/office/drawing/2014/main" id="{00000000-0008-0000-29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259288</xdr:colOff>
      <xdr:row>21</xdr:row>
      <xdr:rowOff>209259</xdr:rowOff>
    </xdr:from>
    <xdr:to>
      <xdr:col>9</xdr:col>
      <xdr:colOff>262288</xdr:colOff>
      <xdr:row>39</xdr:row>
      <xdr:rowOff>147759</xdr:rowOff>
    </xdr:to>
    <xdr:graphicFrame macro="">
      <xdr:nvGraphicFramePr>
        <xdr:cNvPr id="12" name="グラフ 11">
          <a:extLst>
            <a:ext uri="{FF2B5EF4-FFF2-40B4-BE49-F238E27FC236}">
              <a16:creationId xmlns:a16="http://schemas.microsoft.com/office/drawing/2014/main" id="{00000000-0008-0000-29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103909</xdr:colOff>
      <xdr:row>0</xdr:row>
      <xdr:rowOff>138545</xdr:rowOff>
    </xdr:from>
    <xdr:to>
      <xdr:col>3</xdr:col>
      <xdr:colOff>250028</xdr:colOff>
      <xdr:row>1</xdr:row>
      <xdr:rowOff>242454</xdr:rowOff>
    </xdr:to>
    <xdr:sp macro="" textlink="">
      <xdr:nvSpPr>
        <xdr:cNvPr id="13" name="テキスト ボックス 12">
          <a:extLst>
            <a:ext uri="{FF2B5EF4-FFF2-40B4-BE49-F238E27FC236}">
              <a16:creationId xmlns:a16="http://schemas.microsoft.com/office/drawing/2014/main" id="{00000000-0008-0000-2900-00000D000000}"/>
            </a:ext>
          </a:extLst>
        </xdr:cNvPr>
        <xdr:cNvSpPr txBox="1"/>
      </xdr:nvSpPr>
      <xdr:spPr>
        <a:xfrm>
          <a:off x="103909" y="138545"/>
          <a:ext cx="2146369" cy="346364"/>
        </a:xfrm>
        <a:prstGeom prst="roundRect">
          <a:avLst/>
        </a:prstGeom>
        <a:solidFill>
          <a:schemeClr val="accent5">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メイリオ" panose="020B0604030504040204" pitchFamily="50" charset="-128"/>
              <a:ea typeface="メイリオ" panose="020B0604030504040204" pitchFamily="50" charset="-128"/>
            </a:rPr>
            <a:t>在院期間</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312303</xdr:colOff>
      <xdr:row>3</xdr:row>
      <xdr:rowOff>6922</xdr:rowOff>
    </xdr:from>
    <xdr:to>
      <xdr:col>9</xdr:col>
      <xdr:colOff>277203</xdr:colOff>
      <xdr:row>21</xdr:row>
      <xdr:rowOff>40672</xdr:rowOff>
    </xdr:to>
    <xdr:graphicFrame macro="">
      <xdr:nvGraphicFramePr>
        <xdr:cNvPr id="2" name="グラフ 1">
          <a:extLst>
            <a:ext uri="{FF2B5EF4-FFF2-40B4-BE49-F238E27FC236}">
              <a16:creationId xmlns:a16="http://schemas.microsoft.com/office/drawing/2014/main" id="{00000000-0008-0000-2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307972</xdr:colOff>
      <xdr:row>21</xdr:row>
      <xdr:rowOff>221958</xdr:rowOff>
    </xdr:from>
    <xdr:to>
      <xdr:col>9</xdr:col>
      <xdr:colOff>272872</xdr:colOff>
      <xdr:row>40</xdr:row>
      <xdr:rowOff>17583</xdr:rowOff>
    </xdr:to>
    <xdr:graphicFrame macro="">
      <xdr:nvGraphicFramePr>
        <xdr:cNvPr id="3" name="グラフ 2">
          <a:extLst>
            <a:ext uri="{FF2B5EF4-FFF2-40B4-BE49-F238E27FC236}">
              <a16:creationId xmlns:a16="http://schemas.microsoft.com/office/drawing/2014/main" id="{00000000-0008-0000-2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103909</xdr:colOff>
      <xdr:row>0</xdr:row>
      <xdr:rowOff>138545</xdr:rowOff>
    </xdr:from>
    <xdr:to>
      <xdr:col>3</xdr:col>
      <xdr:colOff>250028</xdr:colOff>
      <xdr:row>1</xdr:row>
      <xdr:rowOff>242454</xdr:rowOff>
    </xdr:to>
    <xdr:sp macro="" textlink="">
      <xdr:nvSpPr>
        <xdr:cNvPr id="4" name="テキスト ボックス 3">
          <a:extLst>
            <a:ext uri="{FF2B5EF4-FFF2-40B4-BE49-F238E27FC236}">
              <a16:creationId xmlns:a16="http://schemas.microsoft.com/office/drawing/2014/main" id="{00000000-0008-0000-2A00-000004000000}"/>
            </a:ext>
          </a:extLst>
        </xdr:cNvPr>
        <xdr:cNvSpPr txBox="1"/>
      </xdr:nvSpPr>
      <xdr:spPr>
        <a:xfrm>
          <a:off x="103909" y="138545"/>
          <a:ext cx="2317819" cy="342034"/>
        </a:xfrm>
        <a:prstGeom prst="roundRect">
          <a:avLst/>
        </a:prstGeom>
        <a:solidFill>
          <a:schemeClr val="accent5">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メイリオ" panose="020B0604030504040204" pitchFamily="50" charset="-128"/>
              <a:ea typeface="メイリオ" panose="020B0604030504040204" pitchFamily="50" charset="-128"/>
            </a:rPr>
            <a:t>在院期間</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381000</xdr:colOff>
      <xdr:row>0</xdr:row>
      <xdr:rowOff>158750</xdr:rowOff>
    </xdr:from>
    <xdr:to>
      <xdr:col>2</xdr:col>
      <xdr:colOff>1797119</xdr:colOff>
      <xdr:row>0</xdr:row>
      <xdr:rowOff>988219</xdr:rowOff>
    </xdr:to>
    <xdr:sp macro="" textlink="">
      <xdr:nvSpPr>
        <xdr:cNvPr id="2" name="テキスト ボックス 1">
          <a:extLst>
            <a:ext uri="{FF2B5EF4-FFF2-40B4-BE49-F238E27FC236}">
              <a16:creationId xmlns:a16="http://schemas.microsoft.com/office/drawing/2014/main" id="{00000000-0008-0000-2B00-000002000000}"/>
            </a:ext>
          </a:extLst>
        </xdr:cNvPr>
        <xdr:cNvSpPr txBox="1"/>
      </xdr:nvSpPr>
      <xdr:spPr>
        <a:xfrm>
          <a:off x="381000" y="158750"/>
          <a:ext cx="3082994" cy="829469"/>
        </a:xfrm>
        <a:prstGeom prst="roundRect">
          <a:avLst/>
        </a:prstGeom>
        <a:solidFill>
          <a:srgbClr val="FF7C8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退院阻害要因</a:t>
          </a:r>
        </a:p>
      </xdr:txBody>
    </xdr:sp>
    <xdr:clientData/>
  </xdr:twoCellAnchor>
  <xdr:twoCellAnchor>
    <xdr:from>
      <xdr:col>0</xdr:col>
      <xdr:colOff>0</xdr:colOff>
      <xdr:row>15</xdr:row>
      <xdr:rowOff>476250</xdr:rowOff>
    </xdr:from>
    <xdr:to>
      <xdr:col>3</xdr:col>
      <xdr:colOff>438000</xdr:colOff>
      <xdr:row>19</xdr:row>
      <xdr:rowOff>525375</xdr:rowOff>
    </xdr:to>
    <xdr:graphicFrame macro="">
      <xdr:nvGraphicFramePr>
        <xdr:cNvPr id="5" name="グラフ 4">
          <a:extLst>
            <a:ext uri="{FF2B5EF4-FFF2-40B4-BE49-F238E27FC236}">
              <a16:creationId xmlns:a16="http://schemas.microsoft.com/office/drawing/2014/main" id="{00000000-0008-0000-2B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476248</xdr:colOff>
      <xdr:row>15</xdr:row>
      <xdr:rowOff>476252</xdr:rowOff>
    </xdr:from>
    <xdr:to>
      <xdr:col>6</xdr:col>
      <xdr:colOff>451310</xdr:colOff>
      <xdr:row>19</xdr:row>
      <xdr:rowOff>525377</xdr:rowOff>
    </xdr:to>
    <xdr:graphicFrame macro="">
      <xdr:nvGraphicFramePr>
        <xdr:cNvPr id="6" name="グラフ 5">
          <a:extLst>
            <a:ext uri="{FF2B5EF4-FFF2-40B4-BE49-F238E27FC236}">
              <a16:creationId xmlns:a16="http://schemas.microsoft.com/office/drawing/2014/main" id="{00000000-0008-0000-2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11</xdr:row>
      <xdr:rowOff>321469</xdr:rowOff>
    </xdr:from>
    <xdr:to>
      <xdr:col>3</xdr:col>
      <xdr:colOff>438000</xdr:colOff>
      <xdr:row>15</xdr:row>
      <xdr:rowOff>370594</xdr:rowOff>
    </xdr:to>
    <xdr:graphicFrame macro="">
      <xdr:nvGraphicFramePr>
        <xdr:cNvPr id="7" name="グラフ 6">
          <a:extLst>
            <a:ext uri="{FF2B5EF4-FFF2-40B4-BE49-F238E27FC236}">
              <a16:creationId xmlns:a16="http://schemas.microsoft.com/office/drawing/2014/main" id="{00000000-0008-0000-2B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488158</xdr:colOff>
      <xdr:row>11</xdr:row>
      <xdr:rowOff>333374</xdr:rowOff>
    </xdr:from>
    <xdr:to>
      <xdr:col>6</xdr:col>
      <xdr:colOff>463220</xdr:colOff>
      <xdr:row>15</xdr:row>
      <xdr:rowOff>382499</xdr:rowOff>
    </xdr:to>
    <xdr:graphicFrame macro="">
      <xdr:nvGraphicFramePr>
        <xdr:cNvPr id="8" name="グラフ 7">
          <a:extLst>
            <a:ext uri="{FF2B5EF4-FFF2-40B4-BE49-F238E27FC236}">
              <a16:creationId xmlns:a16="http://schemas.microsoft.com/office/drawing/2014/main" id="{00000000-0008-0000-2B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11908</xdr:colOff>
      <xdr:row>10</xdr:row>
      <xdr:rowOff>333375</xdr:rowOff>
    </xdr:from>
    <xdr:to>
      <xdr:col>2</xdr:col>
      <xdr:colOff>2000252</xdr:colOff>
      <xdr:row>11</xdr:row>
      <xdr:rowOff>127000</xdr:rowOff>
    </xdr:to>
    <xdr:sp macro="" textlink="">
      <xdr:nvSpPr>
        <xdr:cNvPr id="13" name="テキスト ボックス 12">
          <a:extLst>
            <a:ext uri="{FF2B5EF4-FFF2-40B4-BE49-F238E27FC236}">
              <a16:creationId xmlns:a16="http://schemas.microsoft.com/office/drawing/2014/main" id="{00000000-0008-0000-2B00-00000D000000}"/>
            </a:ext>
          </a:extLst>
        </xdr:cNvPr>
        <xdr:cNvSpPr txBox="1"/>
      </xdr:nvSpPr>
      <xdr:spPr>
        <a:xfrm>
          <a:off x="1131096" y="9346406"/>
          <a:ext cx="1988344" cy="591344"/>
        </a:xfrm>
        <a:prstGeom prst="ellipse">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患者全体</a:t>
          </a:r>
        </a:p>
      </xdr:txBody>
    </xdr:sp>
    <xdr:clientData/>
  </xdr:twoCellAnchor>
  <xdr:twoCellAnchor>
    <xdr:from>
      <xdr:col>3</xdr:col>
      <xdr:colOff>735807</xdr:colOff>
      <xdr:row>10</xdr:row>
      <xdr:rowOff>390524</xdr:rowOff>
    </xdr:from>
    <xdr:to>
      <xdr:col>6</xdr:col>
      <xdr:colOff>11907</xdr:colOff>
      <xdr:row>11</xdr:row>
      <xdr:rowOff>184149</xdr:rowOff>
    </xdr:to>
    <xdr:sp macro="" textlink="">
      <xdr:nvSpPr>
        <xdr:cNvPr id="14" name="テキスト ボックス 13">
          <a:extLst>
            <a:ext uri="{FF2B5EF4-FFF2-40B4-BE49-F238E27FC236}">
              <a16:creationId xmlns:a16="http://schemas.microsoft.com/office/drawing/2014/main" id="{00000000-0008-0000-2B00-00000E000000}"/>
            </a:ext>
          </a:extLst>
        </xdr:cNvPr>
        <xdr:cNvSpPr txBox="1"/>
      </xdr:nvSpPr>
      <xdr:spPr>
        <a:xfrm>
          <a:off x="4545807" y="9403555"/>
          <a:ext cx="3729038" cy="591344"/>
        </a:xfrm>
        <a:prstGeom prst="ellipse">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b="1">
              <a:latin typeface="メイリオ" panose="020B0604030504040204" pitchFamily="50" charset="-128"/>
              <a:ea typeface="メイリオ" panose="020B0604030504040204" pitchFamily="50" charset="-128"/>
            </a:rPr>
            <a:t>1</a:t>
          </a:r>
          <a:r>
            <a:rPr kumimoji="1" lang="ja-JP" altLang="en-US" sz="1600" b="1">
              <a:latin typeface="メイリオ" panose="020B0604030504040204" pitchFamily="50" charset="-128"/>
              <a:ea typeface="メイリオ" panose="020B0604030504040204" pitchFamily="50" charset="-128"/>
            </a:rPr>
            <a:t>年以上　寛解・院内寛解</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328083</xdr:colOff>
      <xdr:row>0</xdr:row>
      <xdr:rowOff>179916</xdr:rowOff>
    </xdr:from>
    <xdr:to>
      <xdr:col>8</xdr:col>
      <xdr:colOff>436750</xdr:colOff>
      <xdr:row>42</xdr:row>
      <xdr:rowOff>120916</xdr:rowOff>
    </xdr:to>
    <xdr:graphicFrame macro="">
      <xdr:nvGraphicFramePr>
        <xdr:cNvPr id="2" name="グラフ 1">
          <a:extLst>
            <a:ext uri="{FF2B5EF4-FFF2-40B4-BE49-F238E27FC236}">
              <a16:creationId xmlns:a16="http://schemas.microsoft.com/office/drawing/2014/main" id="{00000000-0008-0000-2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317500</xdr:colOff>
      <xdr:row>44</xdr:row>
      <xdr:rowOff>222251</xdr:rowOff>
    </xdr:from>
    <xdr:to>
      <xdr:col>8</xdr:col>
      <xdr:colOff>426167</xdr:colOff>
      <xdr:row>86</xdr:row>
      <xdr:rowOff>163251</xdr:rowOff>
    </xdr:to>
    <xdr:graphicFrame macro="">
      <xdr:nvGraphicFramePr>
        <xdr:cNvPr id="3" name="グラフ 2">
          <a:extLst>
            <a:ext uri="{FF2B5EF4-FFF2-40B4-BE49-F238E27FC236}">
              <a16:creationId xmlns:a16="http://schemas.microsoft.com/office/drawing/2014/main" id="{00000000-0008-0000-2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xdr:from>
      <xdr:col>0</xdr:col>
      <xdr:colOff>328083</xdr:colOff>
      <xdr:row>0</xdr:row>
      <xdr:rowOff>179916</xdr:rowOff>
    </xdr:from>
    <xdr:to>
      <xdr:col>8</xdr:col>
      <xdr:colOff>436750</xdr:colOff>
      <xdr:row>42</xdr:row>
      <xdr:rowOff>120916</xdr:rowOff>
    </xdr:to>
    <xdr:graphicFrame macro="">
      <xdr:nvGraphicFramePr>
        <xdr:cNvPr id="2" name="グラフ 1">
          <a:extLst>
            <a:ext uri="{FF2B5EF4-FFF2-40B4-BE49-F238E27FC236}">
              <a16:creationId xmlns:a16="http://schemas.microsoft.com/office/drawing/2014/main" id="{00000000-0008-0000-2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317500</xdr:colOff>
      <xdr:row>44</xdr:row>
      <xdr:rowOff>222251</xdr:rowOff>
    </xdr:from>
    <xdr:to>
      <xdr:col>8</xdr:col>
      <xdr:colOff>426167</xdr:colOff>
      <xdr:row>86</xdr:row>
      <xdr:rowOff>163251</xdr:rowOff>
    </xdr:to>
    <xdr:graphicFrame macro="">
      <xdr:nvGraphicFramePr>
        <xdr:cNvPr id="3" name="グラフ 2">
          <a:extLst>
            <a:ext uri="{FF2B5EF4-FFF2-40B4-BE49-F238E27FC236}">
              <a16:creationId xmlns:a16="http://schemas.microsoft.com/office/drawing/2014/main" id="{00000000-0008-0000-2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57150</xdr:colOff>
          <xdr:row>1</xdr:row>
          <xdr:rowOff>190500</xdr:rowOff>
        </xdr:from>
        <xdr:to>
          <xdr:col>5</xdr:col>
          <xdr:colOff>466725</xdr:colOff>
          <xdr:row>3</xdr:row>
          <xdr:rowOff>142875</xdr:rowOff>
        </xdr:to>
        <xdr:sp macro="" textlink="">
          <xdr:nvSpPr>
            <xdr:cNvPr id="10241" name="Button 1" hidden="1">
              <a:extLst>
                <a:ext uri="{63B3BB69-23CF-44E3-9099-C40C66FF867C}">
                  <a14:compatExt spid="_x0000_s10241"/>
                </a:ext>
                <a:ext uri="{FF2B5EF4-FFF2-40B4-BE49-F238E27FC236}">
                  <a16:creationId xmlns:a16="http://schemas.microsoft.com/office/drawing/2014/main" id="{00000000-0008-0000-0500-00000128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66CC"/>
                  </a:solidFill>
                  <a:latin typeface="メイリオ"/>
                  <a:ea typeface="メイリオ"/>
                </a:rPr>
                <a:t>データ削除</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295275</xdr:colOff>
          <xdr:row>4</xdr:row>
          <xdr:rowOff>9525</xdr:rowOff>
        </xdr:from>
        <xdr:to>
          <xdr:col>11</xdr:col>
          <xdr:colOff>1438275</xdr:colOff>
          <xdr:row>5</xdr:row>
          <xdr:rowOff>161925</xdr:rowOff>
        </xdr:to>
        <xdr:sp macro="" textlink="">
          <xdr:nvSpPr>
            <xdr:cNvPr id="11265" name="Button 1" hidden="1">
              <a:extLst>
                <a:ext uri="{63B3BB69-23CF-44E3-9099-C40C66FF867C}">
                  <a14:compatExt spid="_x0000_s11265"/>
                </a:ext>
                <a:ext uri="{FF2B5EF4-FFF2-40B4-BE49-F238E27FC236}">
                  <a16:creationId xmlns:a16="http://schemas.microsoft.com/office/drawing/2014/main" id="{00000000-0008-0000-0600-0000012C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66CC"/>
                  </a:solidFill>
                  <a:latin typeface="メイリオ"/>
                  <a:ea typeface="メイリオ"/>
                </a:rPr>
                <a:t>データ削除</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17</xdr:col>
          <xdr:colOff>704850</xdr:colOff>
          <xdr:row>3</xdr:row>
          <xdr:rowOff>76200</xdr:rowOff>
        </xdr:from>
        <xdr:to>
          <xdr:col>19</xdr:col>
          <xdr:colOff>161925</xdr:colOff>
          <xdr:row>5</xdr:row>
          <xdr:rowOff>114300</xdr:rowOff>
        </xdr:to>
        <xdr:sp macro="" textlink="">
          <xdr:nvSpPr>
            <xdr:cNvPr id="12289" name="Button 1" hidden="1">
              <a:extLst>
                <a:ext uri="{63B3BB69-23CF-44E3-9099-C40C66FF867C}">
                  <a14:compatExt spid="_x0000_s12289"/>
                </a:ext>
                <a:ext uri="{FF2B5EF4-FFF2-40B4-BE49-F238E27FC236}">
                  <a16:creationId xmlns:a16="http://schemas.microsoft.com/office/drawing/2014/main" id="{00000000-0008-0000-0700-00000130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66CC"/>
                  </a:solidFill>
                  <a:latin typeface="メイリオ"/>
                  <a:ea typeface="メイリオ"/>
                </a:rPr>
                <a:t>データ削除</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885825</xdr:colOff>
          <xdr:row>3</xdr:row>
          <xdr:rowOff>47625</xdr:rowOff>
        </xdr:from>
        <xdr:to>
          <xdr:col>11</xdr:col>
          <xdr:colOff>342900</xdr:colOff>
          <xdr:row>5</xdr:row>
          <xdr:rowOff>95250</xdr:rowOff>
        </xdr:to>
        <xdr:sp macro="" textlink="">
          <xdr:nvSpPr>
            <xdr:cNvPr id="13313" name="Button 1" hidden="1">
              <a:extLst>
                <a:ext uri="{63B3BB69-23CF-44E3-9099-C40C66FF867C}">
                  <a14:compatExt spid="_x0000_s13313"/>
                </a:ext>
                <a:ext uri="{FF2B5EF4-FFF2-40B4-BE49-F238E27FC236}">
                  <a16:creationId xmlns:a16="http://schemas.microsoft.com/office/drawing/2014/main" id="{00000000-0008-0000-0800-00000134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66CC"/>
                  </a:solidFill>
                  <a:latin typeface="メイリオ"/>
                  <a:ea typeface="メイリオ"/>
                </a:rPr>
                <a:t>データ削除</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104775</xdr:colOff>
          <xdr:row>22</xdr:row>
          <xdr:rowOff>219075</xdr:rowOff>
        </xdr:from>
        <xdr:to>
          <xdr:col>15</xdr:col>
          <xdr:colOff>85725</xdr:colOff>
          <xdr:row>25</xdr:row>
          <xdr:rowOff>76200</xdr:rowOff>
        </xdr:to>
        <xdr:sp macro="" textlink="">
          <xdr:nvSpPr>
            <xdr:cNvPr id="14337" name="Button 1" hidden="1">
              <a:extLst>
                <a:ext uri="{63B3BB69-23CF-44E3-9099-C40C66FF867C}">
                  <a14:compatExt spid="_x0000_s14337"/>
                </a:ext>
                <a:ext uri="{FF2B5EF4-FFF2-40B4-BE49-F238E27FC236}">
                  <a16:creationId xmlns:a16="http://schemas.microsoft.com/office/drawing/2014/main" id="{00000000-0008-0000-0900-000001380000}"/>
                </a:ext>
              </a:extLst>
            </xdr:cNvPr>
            <xdr:cNvSpPr/>
          </xdr:nvSpPr>
          <xdr:spPr bwMode="auto">
            <a:xfrm>
              <a:off x="0" y="0"/>
              <a:ext cx="0" cy="0"/>
            </a:xfrm>
            <a:prstGeom prst="rect">
              <a:avLst/>
            </a:prstGeom>
            <a:noFill/>
            <a:ln w="9525">
              <a:miter lim="800000"/>
              <a:headEnd/>
              <a:tailEnd/>
            </a:ln>
          </xdr:spPr>
          <xdr:txBody>
            <a:bodyPr vertOverflow="clip" wrap="square" lIns="36576" tIns="45720" rIns="36576" bIns="45720" anchor="ctr" upright="1"/>
            <a:lstStyle/>
            <a:p>
              <a:pPr algn="ctr" rtl="0">
                <a:defRPr sz="1000"/>
              </a:pPr>
              <a:r>
                <a:rPr lang="ja-JP" altLang="en-US" sz="1100" b="0" i="0" u="none" strike="noStrike" baseline="0">
                  <a:solidFill>
                    <a:srgbClr val="0066CC"/>
                  </a:solidFill>
                  <a:latin typeface="メイリオ"/>
                  <a:ea typeface="メイリオ"/>
                </a:rPr>
                <a:t>データ削除</a:t>
              </a:r>
            </a:p>
          </xdr:txBody>
        </xdr:sp>
        <xdr:clientData fPrintsWithSheet="0"/>
      </xdr:twoCellAnchor>
    </mc:Choice>
    <mc:Fallback/>
  </mc:AlternateContent>
</xdr:wsDr>
</file>

<file path=xl/tables/table1.xml><?xml version="1.0" encoding="utf-8"?>
<table xmlns="http://schemas.openxmlformats.org/spreadsheetml/2006/main" id="11" name="年齢区分＿院内寛解" displayName="年齢区分＿院内寛解" ref="P4:Q13" totalsRowShown="0" headerRowDxfId="1007" dataDxfId="1006">
  <autoFilter ref="P4:Q13">
    <filterColumn colId="0" hiddenButton="1"/>
    <filterColumn colId="1" hiddenButton="1"/>
  </autoFilter>
  <tableColumns count="2">
    <tableColumn id="1" name="行ラベル" dataDxfId="1005"/>
    <tableColumn id="2" name="データの個数 / 年齢" dataDxfId="1004"/>
  </tableColumns>
  <tableStyleInfo name="TableStyleMedium2" showFirstColumn="0" showLastColumn="0" showRowStripes="1" showColumnStripes="0"/>
</table>
</file>

<file path=xl/tables/table10.xml><?xml version="1.0" encoding="utf-8"?>
<table xmlns="http://schemas.openxmlformats.org/spreadsheetml/2006/main" id="13" name="在院期間" displayName="在院期間" ref="K4:L20" totalsRowShown="0">
  <autoFilter ref="K4:L20">
    <filterColumn colId="0" hiddenButton="1"/>
    <filterColumn colId="1" hiddenButton="1"/>
  </autoFilter>
  <tableColumns count="2">
    <tableColumn id="1" name="行ラベル" dataDxfId="977"/>
    <tableColumn id="2" name="データの個数 / 在院" dataDxfId="976"/>
  </tableColumns>
  <tableStyleInfo name="TableStyleMedium2" showFirstColumn="0" showLastColumn="0" showRowStripes="1" showColumnStripes="0"/>
</table>
</file>

<file path=xl/tables/table11.xml><?xml version="1.0" encoding="utf-8"?>
<table xmlns="http://schemas.openxmlformats.org/spreadsheetml/2006/main" id="14" name="在院期間＿寛解" displayName="在院期間＿寛解" ref="N4:O20" totalsRowShown="0">
  <autoFilter ref="N4:O20">
    <filterColumn colId="0" hiddenButton="1"/>
    <filterColumn colId="1" hiddenButton="1"/>
  </autoFilter>
  <tableColumns count="2">
    <tableColumn id="1" name="行ラベル" dataDxfId="975"/>
    <tableColumn id="2" name="データの個数 / 在院" dataDxfId="974"/>
  </tableColumns>
  <tableStyleInfo name="TableStyleMedium2" showFirstColumn="0" showLastColumn="0" showRowStripes="1" showColumnStripes="0"/>
</table>
</file>

<file path=xl/tables/table12.xml><?xml version="1.0" encoding="utf-8"?>
<table xmlns="http://schemas.openxmlformats.org/spreadsheetml/2006/main" id="15" name="在院期間＿院内寛解" displayName="在院期間＿院内寛解" ref="P4:Q20" totalsRowShown="0">
  <autoFilter ref="P4:Q20">
    <filterColumn colId="0" hiddenButton="1"/>
    <filterColumn colId="1" hiddenButton="1"/>
  </autoFilter>
  <tableColumns count="2">
    <tableColumn id="1" name="行ラベル" dataDxfId="973"/>
    <tableColumn id="2" name="データの個数 / 在院" dataDxfId="972"/>
  </tableColumns>
  <tableStyleInfo name="TableStyleMedium2" showFirstColumn="0" showLastColumn="0" showRowStripes="1" showColumnStripes="0"/>
</table>
</file>

<file path=xl/tables/table13.xml><?xml version="1.0" encoding="utf-8"?>
<table xmlns="http://schemas.openxmlformats.org/spreadsheetml/2006/main" id="19" name="年齢区分＿1年以上" displayName="年齢区分＿1年以上" ref="K4:L13" totalsRowShown="0">
  <autoFilter ref="K4:L13">
    <filterColumn colId="0" hiddenButton="1"/>
    <filterColumn colId="1" hiddenButton="1"/>
  </autoFilter>
  <tableColumns count="2">
    <tableColumn id="1" name="行ラベル" dataDxfId="971"/>
    <tableColumn id="2" name="データの個数 / 年齢" dataDxfId="970"/>
  </tableColumns>
  <tableStyleInfo name="TableStyleMedium2" showFirstColumn="0" showLastColumn="0" showRowStripes="1" showColumnStripes="0"/>
</table>
</file>

<file path=xl/tables/table14.xml><?xml version="1.0" encoding="utf-8"?>
<table xmlns="http://schemas.openxmlformats.org/spreadsheetml/2006/main" id="20" name="年齢区分＿1年以上＿寛解" displayName="年齢区分＿1年以上＿寛解" ref="N4:O13" totalsRowShown="0">
  <autoFilter ref="N4:O13">
    <filterColumn colId="0" hiddenButton="1"/>
    <filterColumn colId="1" hiddenButton="1"/>
  </autoFilter>
  <tableColumns count="2">
    <tableColumn id="1" name="行ラベル" dataDxfId="969"/>
    <tableColumn id="2" name="データの個数 / 年齢" dataDxfId="968"/>
  </tableColumns>
  <tableStyleInfo name="TableStyleMedium2" showFirstColumn="0" showLastColumn="0" showRowStripes="1" showColumnStripes="0"/>
</table>
</file>

<file path=xl/tables/table15.xml><?xml version="1.0" encoding="utf-8"?>
<table xmlns="http://schemas.openxmlformats.org/spreadsheetml/2006/main" id="21" name="年齢区分＿1年以上＿院内寛解" displayName="年齢区分＿1年以上＿院内寛解" ref="P4:Q13" totalsRowShown="0">
  <autoFilter ref="P4:Q13">
    <filterColumn colId="0" hiddenButton="1"/>
    <filterColumn colId="1" hiddenButton="1"/>
  </autoFilter>
  <tableColumns count="2">
    <tableColumn id="1" name="行ラベル" dataDxfId="967"/>
    <tableColumn id="2" name="データの個数 / 年齢" dataDxfId="966"/>
  </tableColumns>
  <tableStyleInfo name="TableStyleMedium2" showFirstColumn="0" showLastColumn="0" showRowStripes="1" showColumnStripes="0"/>
</table>
</file>

<file path=xl/tables/table16.xml><?xml version="1.0" encoding="utf-8"?>
<table xmlns="http://schemas.openxmlformats.org/spreadsheetml/2006/main" id="22" name="入院形態＿1年以上" displayName="入院形態＿1年以上" ref="G4:H12" totalsRowShown="0" headerRowDxfId="965">
  <autoFilter ref="G4:H12">
    <filterColumn colId="0" hiddenButton="1"/>
    <filterColumn colId="1" hiddenButton="1"/>
  </autoFilter>
  <tableColumns count="2">
    <tableColumn id="1" name="行ラベル" dataDxfId="964"/>
    <tableColumn id="2" name="データの個数 / 入院" dataDxfId="963"/>
  </tableColumns>
  <tableStyleInfo name="TableStyleMedium2" showFirstColumn="0" showLastColumn="0" showRowStripes="1" showColumnStripes="0"/>
</table>
</file>

<file path=xl/tables/table17.xml><?xml version="1.0" encoding="utf-8"?>
<table xmlns="http://schemas.openxmlformats.org/spreadsheetml/2006/main" id="23" name="入院形態＿1年以上＿寛解" displayName="入院形態＿1年以上＿寛解" ref="G16:H24" totalsRowShown="0" headerRowDxfId="962">
  <autoFilter ref="G16:H24">
    <filterColumn colId="0" hiddenButton="1"/>
    <filterColumn colId="1" hiddenButton="1"/>
  </autoFilter>
  <tableColumns count="2">
    <tableColumn id="1" name="行ラベル" dataDxfId="961"/>
    <tableColumn id="2" name="データの個数 / 入院" dataDxfId="960"/>
  </tableColumns>
  <tableStyleInfo name="TableStyleMedium2" showFirstColumn="0" showLastColumn="0" showRowStripes="1" showColumnStripes="0"/>
</table>
</file>

<file path=xl/tables/table18.xml><?xml version="1.0" encoding="utf-8"?>
<table xmlns="http://schemas.openxmlformats.org/spreadsheetml/2006/main" id="24" name="入院形態＿1年以上＿院内寛解" displayName="入院形態＿1年以上＿院内寛解" ref="J16:K24" totalsRowShown="0" headerRowDxfId="959">
  <autoFilter ref="J16:K24">
    <filterColumn colId="0" hiddenButton="1"/>
    <filterColumn colId="1" hiddenButton="1"/>
  </autoFilter>
  <tableColumns count="2">
    <tableColumn id="1" name="行ラベル" dataDxfId="958"/>
    <tableColumn id="2" name="データの個数 / 入院" dataDxfId="957"/>
  </tableColumns>
  <tableStyleInfo name="TableStyleMedium2" showFirstColumn="0" showLastColumn="0" showRowStripes="1" showColumnStripes="0"/>
</table>
</file>

<file path=xl/tables/table19.xml><?xml version="1.0" encoding="utf-8"?>
<table xmlns="http://schemas.openxmlformats.org/spreadsheetml/2006/main" id="28" name="疾患別＿1年以上" displayName="疾患別＿1年以上" ref="B24:C42" totalsRowShown="0" headerRowDxfId="956">
  <autoFilter ref="B24:C42">
    <filterColumn colId="0" hiddenButton="1"/>
    <filterColumn colId="1" hiddenButton="1"/>
  </autoFilter>
  <tableColumns count="2">
    <tableColumn id="1" name="行ラベル" dataDxfId="955"/>
    <tableColumn id="2" name="データの個数 / 疾患名" dataDxfId="954"/>
  </tableColumns>
  <tableStyleInfo name="TableStyleMedium2" showFirstColumn="0" showLastColumn="0" showRowStripes="1" showColumnStripes="0"/>
</table>
</file>

<file path=xl/tables/table2.xml><?xml version="1.0" encoding="utf-8"?>
<table xmlns="http://schemas.openxmlformats.org/spreadsheetml/2006/main" id="10" name="年齢区分＿寛解" displayName="年齢区分＿寛解" ref="N4:O13" totalsRowShown="0" dataDxfId="1003">
  <autoFilter ref="N4:O13">
    <filterColumn colId="0" hiddenButton="1"/>
    <filterColumn colId="1" hiddenButton="1"/>
  </autoFilter>
  <tableColumns count="2">
    <tableColumn id="1" name="行ラベル" dataDxfId="1002"/>
    <tableColumn id="2" name="データの個数 / 年齢" dataDxfId="1001"/>
  </tableColumns>
  <tableStyleInfo name="TableStyleMedium2" showFirstColumn="0" showLastColumn="0" showRowStripes="1" showColumnStripes="0"/>
</table>
</file>

<file path=xl/tables/table20.xml><?xml version="1.0" encoding="utf-8"?>
<table xmlns="http://schemas.openxmlformats.org/spreadsheetml/2006/main" id="29" name="疾患別＿1年以上＿寛解" displayName="疾患別＿1年以上＿寛解" ref="G24:H42" totalsRowShown="0" tableBorderDxfId="953">
  <autoFilter ref="G24:H42">
    <filterColumn colId="0" hiddenButton="1"/>
    <filterColumn colId="1" hiddenButton="1"/>
  </autoFilter>
  <tableColumns count="2">
    <tableColumn id="1" name="行ラベル"/>
    <tableColumn id="2" name="データの個数 / 疾患名" dataDxfId="952"/>
  </tableColumns>
  <tableStyleInfo name="TableStyleMedium2" showFirstColumn="0" showLastColumn="0" showRowStripes="1" showColumnStripes="0"/>
</table>
</file>

<file path=xl/tables/table21.xml><?xml version="1.0" encoding="utf-8"?>
<table xmlns="http://schemas.openxmlformats.org/spreadsheetml/2006/main" id="30" name="疾患別＿1年以上＿院内寛解" displayName="疾患別＿1年以上＿院内寛解" ref="G44:H62" totalsRowShown="0" headerRowBorderDxfId="951" tableBorderDxfId="950">
  <autoFilter ref="G44:H62">
    <filterColumn colId="0" hiddenButton="1"/>
    <filterColumn colId="1" hiddenButton="1"/>
  </autoFilter>
  <tableColumns count="2">
    <tableColumn id="1" name="行ラベル" dataDxfId="949"/>
    <tableColumn id="2" name="データの個数 / 疾患名" dataDxfId="948"/>
  </tableColumns>
  <tableStyleInfo name="TableStyleMedium2" showFirstColumn="0" showLastColumn="0" showRowStripes="1" showColumnStripes="0"/>
</table>
</file>

<file path=xl/tables/table22.xml><?xml version="1.0" encoding="utf-8"?>
<table xmlns="http://schemas.openxmlformats.org/spreadsheetml/2006/main" id="1" name="年齢区分＿65歳以上" displayName="年齢区分＿65歳以上" ref="I4:J13" totalsRowShown="0">
  <autoFilter ref="I4:J13">
    <filterColumn colId="0" hiddenButton="1"/>
    <filterColumn colId="1" hiddenButton="1"/>
  </autoFilter>
  <tableColumns count="2">
    <tableColumn id="1" name="行ラベル" dataDxfId="947"/>
    <tableColumn id="2" name="データの個数 / 年齢" dataDxfId="946"/>
  </tableColumns>
  <tableStyleInfo name="TableStyleMedium2" showFirstColumn="0" showLastColumn="0" showRowStripes="1" showColumnStripes="0"/>
</table>
</file>

<file path=xl/tables/table23.xml><?xml version="1.0" encoding="utf-8"?>
<table xmlns="http://schemas.openxmlformats.org/spreadsheetml/2006/main" id="2" name="年齢区分＿65歳以上＿寛解・院内寛解" displayName="年齢区分＿65歳以上＿寛解・院内寛解" ref="L4:M13" totalsRowShown="0">
  <autoFilter ref="L4:M13">
    <filterColumn colId="0" hiddenButton="1"/>
    <filterColumn colId="1" hiddenButton="1"/>
  </autoFilter>
  <tableColumns count="2">
    <tableColumn id="1" name="行ラベル" dataDxfId="945"/>
    <tableColumn id="2" name="データの個数 / 年齢" dataDxfId="944"/>
  </tableColumns>
  <tableStyleInfo name="TableStyleMedium2" showFirstColumn="0" showLastColumn="0" showRowStripes="1" showColumnStripes="0"/>
</table>
</file>

<file path=xl/tables/table24.xml><?xml version="1.0" encoding="utf-8"?>
<table xmlns="http://schemas.openxmlformats.org/spreadsheetml/2006/main" id="12" name="入院形態＿65歳以上" displayName="入院形態＿65歳以上" ref="E4:F12" totalsRowShown="0" headerRowDxfId="943">
  <autoFilter ref="E4:F12">
    <filterColumn colId="0" hiddenButton="1"/>
    <filterColumn colId="1" hiddenButton="1"/>
  </autoFilter>
  <tableColumns count="2">
    <tableColumn id="1" name="行ラベル" dataDxfId="942"/>
    <tableColumn id="2" name="データの個数 / 入院" dataDxfId="941"/>
  </tableColumns>
  <tableStyleInfo name="TableStyleMedium2" showFirstColumn="0" showLastColumn="0" showRowStripes="1" showColumnStripes="0"/>
</table>
</file>

<file path=xl/tables/table25.xml><?xml version="1.0" encoding="utf-8"?>
<table xmlns="http://schemas.openxmlformats.org/spreadsheetml/2006/main" id="16" name="入院形態＿65歳以上＿寛解・院内寛解" displayName="入院形態＿65歳以上＿寛解・院内寛解" ref="E15:F23" totalsRowShown="0" headerRowDxfId="940">
  <autoFilter ref="E15:F23">
    <filterColumn colId="0" hiddenButton="1"/>
    <filterColumn colId="1" hiddenButton="1"/>
  </autoFilter>
  <tableColumns count="2">
    <tableColumn id="1" name="行ラベル" dataDxfId="939"/>
    <tableColumn id="2" name="データの個数 / 入院" dataDxfId="938"/>
  </tableColumns>
  <tableStyleInfo name="TableStyleMedium2" showFirstColumn="0" showLastColumn="0" showRowStripes="1" showColumnStripes="0"/>
</table>
</file>

<file path=xl/tables/table26.xml><?xml version="1.0" encoding="utf-8"?>
<table xmlns="http://schemas.openxmlformats.org/spreadsheetml/2006/main" id="25" name="疾患別＿65歳以上" displayName="疾患別＿65歳以上" ref="J5:K23" totalsRowShown="0" headerRowDxfId="937">
  <autoFilter ref="J5:K23">
    <filterColumn colId="0" hiddenButton="1"/>
    <filterColumn colId="1" hiddenButton="1"/>
  </autoFilter>
  <tableColumns count="2">
    <tableColumn id="1" name="行ラベル" dataDxfId="936"/>
    <tableColumn id="2" name="データの個数 / 疾患名" dataDxfId="935"/>
  </tableColumns>
  <tableStyleInfo name="TableStyleMedium2" showFirstColumn="0" showLastColumn="0" showRowStripes="1" showColumnStripes="0"/>
</table>
</file>

<file path=xl/tables/table27.xml><?xml version="1.0" encoding="utf-8"?>
<table xmlns="http://schemas.openxmlformats.org/spreadsheetml/2006/main" id="26" name="疾患別＿65歳以上＿寛解・院内寛解" displayName="疾患別＿65歳以上＿寛解・院内寛解" ref="J26:K44" totalsRowShown="0" tableBorderDxfId="934">
  <autoFilter ref="J26:K44">
    <filterColumn colId="0" hiddenButton="1"/>
    <filterColumn colId="1" hiddenButton="1"/>
  </autoFilter>
  <tableColumns count="2">
    <tableColumn id="1" name="行ラベル"/>
    <tableColumn id="2" name="データの個数 / 疾患名" dataDxfId="933"/>
  </tableColumns>
  <tableStyleInfo name="TableStyleMedium2" showFirstColumn="0" showLastColumn="0" showRowStripes="1" showColumnStripes="0"/>
</table>
</file>

<file path=xl/tables/table28.xml><?xml version="1.0" encoding="utf-8"?>
<table xmlns="http://schemas.openxmlformats.org/spreadsheetml/2006/main" id="27" name="在院期間＿65歳以上" displayName="在院期間＿65歳以上" ref="J5:K21" totalsRowShown="0">
  <autoFilter ref="J5:K21">
    <filterColumn colId="0" hiddenButton="1"/>
    <filterColumn colId="1" hiddenButton="1"/>
  </autoFilter>
  <tableColumns count="2">
    <tableColumn id="1" name="行ラベル" dataDxfId="932"/>
    <tableColumn id="2" name="データの個数 / 在院" dataDxfId="931"/>
  </tableColumns>
  <tableStyleInfo name="TableStyleMedium2" showFirstColumn="0" showLastColumn="0" showRowStripes="1" showColumnStripes="0"/>
</table>
</file>

<file path=xl/tables/table29.xml><?xml version="1.0" encoding="utf-8"?>
<table xmlns="http://schemas.openxmlformats.org/spreadsheetml/2006/main" id="31" name="在院期間＿65歳以上＿寛解・院内寛解" displayName="在院期間＿65歳以上＿寛解・院内寛解" ref="M5:N21" totalsRowShown="0">
  <autoFilter ref="M5:N21">
    <filterColumn colId="0" hiddenButton="1"/>
    <filterColumn colId="1" hiddenButton="1"/>
  </autoFilter>
  <tableColumns count="2">
    <tableColumn id="1" name="行ラベル" dataDxfId="930"/>
    <tableColumn id="2" name="データの個数 / 在院" dataDxfId="929"/>
  </tableColumns>
  <tableStyleInfo name="TableStyleMedium2" showFirstColumn="0" showLastColumn="0" showRowStripes="1" showColumnStripes="0"/>
</table>
</file>

<file path=xl/tables/table3.xml><?xml version="1.0" encoding="utf-8"?>
<table xmlns="http://schemas.openxmlformats.org/spreadsheetml/2006/main" id="9" name="年齢区分" displayName="年齢区分" ref="K4:L13" totalsRowShown="0" tableBorderDxfId="1000">
  <autoFilter ref="K4:L13">
    <filterColumn colId="0" hiddenButton="1"/>
    <filterColumn colId="1" hiddenButton="1"/>
  </autoFilter>
  <tableColumns count="2">
    <tableColumn id="1" name="行ラベル" dataDxfId="999"/>
    <tableColumn id="2" name="データの個数 / 年齢" dataDxfId="998"/>
  </tableColumns>
  <tableStyleInfo name="TableStyleMedium2" showFirstColumn="0" showLastColumn="0" showRowStripes="1" showColumnStripes="0"/>
</table>
</file>

<file path=xl/tables/table30.xml><?xml version="1.0" encoding="utf-8"?>
<table xmlns="http://schemas.openxmlformats.org/spreadsheetml/2006/main" id="32" name="退院予定有無×年齢階層" displayName="退院予定有無×年齢階層" ref="H3:J6" totalsRowShown="0">
  <autoFilter ref="H3:J6">
    <filterColumn colId="0" hiddenButton="1"/>
    <filterColumn colId="1" hiddenButton="1"/>
    <filterColumn colId="2" hiddenButton="1"/>
  </autoFilter>
  <tableColumns count="3">
    <tableColumn id="1" name="行ラベル" dataDxfId="928"/>
    <tableColumn id="2" name="65歳以上" dataDxfId="927"/>
    <tableColumn id="3" name="65歳未満"/>
  </tableColumns>
  <tableStyleInfo name="TableStyleMedium2" showFirstColumn="0" showLastColumn="0" showRowStripes="1" showColumnStripes="0"/>
</table>
</file>

<file path=xl/tables/table31.xml><?xml version="1.0" encoding="utf-8"?>
<table xmlns="http://schemas.openxmlformats.org/spreadsheetml/2006/main" id="33" name="阻害要因有無×年齢階層" displayName="阻害要因有無×年齢階層" ref="H9:J11" totalsRowShown="0">
  <autoFilter ref="H9:J11">
    <filterColumn colId="0" hiddenButton="1"/>
    <filterColumn colId="1" hiddenButton="1"/>
    <filterColumn colId="2" hiddenButton="1"/>
  </autoFilter>
  <tableColumns count="3">
    <tableColumn id="1" name="行ラベル" dataDxfId="926"/>
    <tableColumn id="2" name="65歳以上" dataDxfId="925"/>
    <tableColumn id="3" name="65歳未満" dataDxfId="924"/>
  </tableColumns>
  <tableStyleInfo name="TableStyleMedium2" showFirstColumn="0" showLastColumn="0" showRowStripes="1" showColumnStripes="0"/>
</table>
</file>

<file path=xl/tables/table32.xml><?xml version="1.0" encoding="utf-8"?>
<table xmlns="http://schemas.openxmlformats.org/spreadsheetml/2006/main" id="34" name="阻害要因×年齢階層" displayName="阻害要因×年齢階層" ref="H13:J33" totalsRowShown="0">
  <autoFilter ref="H13:J33">
    <filterColumn colId="0" hiddenButton="1"/>
    <filterColumn colId="1" hiddenButton="1"/>
    <filterColumn colId="2" hiddenButton="1"/>
  </autoFilter>
  <tableColumns count="3">
    <tableColumn id="1" name="値" dataDxfId="923"/>
    <tableColumn id="2" name="65歳以上" dataDxfId="922"/>
    <tableColumn id="3" name="65歳未満" dataDxfId="921"/>
  </tableColumns>
  <tableStyleInfo name="TableStyleMedium2" showFirstColumn="0" showLastColumn="0" showRowStripes="1" showColumnStripes="0"/>
</table>
</file>

<file path=xl/tables/table33.xml><?xml version="1.0" encoding="utf-8"?>
<table xmlns="http://schemas.openxmlformats.org/spreadsheetml/2006/main" id="35" name="退院予定有無×年齢階層＿寛解・院内寛解" displayName="退院予定有無×年齢階層＿寛解・院内寛解" ref="H37:J40" totalsRowShown="0">
  <autoFilter ref="H37:J40">
    <filterColumn colId="0" hiddenButton="1"/>
    <filterColumn colId="1" hiddenButton="1"/>
    <filterColumn colId="2" hiddenButton="1"/>
  </autoFilter>
  <tableColumns count="3">
    <tableColumn id="1" name="行ラベル" dataDxfId="920"/>
    <tableColumn id="2" name="65歳以上" dataDxfId="919"/>
    <tableColumn id="3" name="65歳未満" dataDxfId="918"/>
  </tableColumns>
  <tableStyleInfo name="TableStyleMedium2" showFirstColumn="0" showLastColumn="0" showRowStripes="1" showColumnStripes="0"/>
</table>
</file>

<file path=xl/tables/table34.xml><?xml version="1.0" encoding="utf-8"?>
<table xmlns="http://schemas.openxmlformats.org/spreadsheetml/2006/main" id="36" name="阻害要因有無×年齢階層＿寛解・院内寛解" displayName="阻害要因有無×年齢階層＿寛解・院内寛解" ref="H43:J45" totalsRowShown="0">
  <autoFilter ref="H43:J45">
    <filterColumn colId="0" hiddenButton="1"/>
    <filterColumn colId="1" hiddenButton="1"/>
    <filterColumn colId="2" hiddenButton="1"/>
  </autoFilter>
  <tableColumns count="3">
    <tableColumn id="1" name="行ラベル" dataDxfId="917"/>
    <tableColumn id="2" name="65歳以上" dataDxfId="916"/>
    <tableColumn id="3" name="65歳未満" dataDxfId="915"/>
  </tableColumns>
  <tableStyleInfo name="TableStyleMedium2" showFirstColumn="0" showLastColumn="0" showRowStripes="1" showColumnStripes="0"/>
</table>
</file>

<file path=xl/tables/table35.xml><?xml version="1.0" encoding="utf-8"?>
<table xmlns="http://schemas.openxmlformats.org/spreadsheetml/2006/main" id="37" name="阻害要因×年齢階層＿寛解・院内寛解" displayName="阻害要因×年齢階層＿寛解・院内寛解" ref="H47:J67" totalsRowShown="0">
  <autoFilter ref="H47:J67">
    <filterColumn colId="0" hiddenButton="1"/>
    <filterColumn colId="1" hiddenButton="1"/>
    <filterColumn colId="2" hiddenButton="1"/>
  </autoFilter>
  <tableColumns count="3">
    <tableColumn id="1" name="値" dataDxfId="914"/>
    <tableColumn id="2" name="65歳以上" dataDxfId="913"/>
    <tableColumn id="3" name="65歳未満" dataDxfId="912"/>
  </tableColumns>
  <tableStyleInfo name="TableStyleMedium2" showFirstColumn="0" showLastColumn="0" showRowStripes="1" showColumnStripes="0"/>
</table>
</file>

<file path=xl/tables/table36.xml><?xml version="1.0" encoding="utf-8"?>
<table xmlns="http://schemas.openxmlformats.org/spreadsheetml/2006/main" id="39" name="阻害要因有無×在院期間区分" displayName="阻害要因有無×在院期間区分" ref="L9:AB12" totalsRowShown="0" headerRowDxfId="911" dataDxfId="910">
  <autoFilter ref="L9:AB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行ラベル" dataDxfId="909"/>
    <tableColumn id="2" name="01_1ヶ月未満" dataDxfId="908"/>
    <tableColumn id="3" name="02_1ヶ月～3ヶ月未満" dataDxfId="907"/>
    <tableColumn id="4" name="03_3ヶ月～6ヶ月未満" dataDxfId="906"/>
    <tableColumn id="5" name="04_6ヶ月～1年未満" dataDxfId="905"/>
    <tableColumn id="6" name="05_1年～1年6ヶ月未満" dataDxfId="904"/>
    <tableColumn id="7" name="06_1年6ヶ月～2年未満" dataDxfId="903"/>
    <tableColumn id="8" name="07_2年～3年未満" dataDxfId="902"/>
    <tableColumn id="9" name="08_3年～4年未満" dataDxfId="901"/>
    <tableColumn id="10" name="09_4年～5年未満" dataDxfId="900"/>
    <tableColumn id="11" name="10_5年～6年未満" dataDxfId="899"/>
    <tableColumn id="12" name="11_6年～7年未満" dataDxfId="898"/>
    <tableColumn id="13" name="12_7年～8年未満" dataDxfId="897"/>
    <tableColumn id="14" name="13_8年～9年未満" dataDxfId="896"/>
    <tableColumn id="15" name="14_9年～10年未満" dataDxfId="895"/>
    <tableColumn id="16" name="15_10年～20年未満" dataDxfId="894"/>
    <tableColumn id="17" name="16_ 20年以上" dataDxfId="893"/>
  </tableColumns>
  <tableStyleInfo name="TableStyleMedium2" showFirstColumn="0" showLastColumn="0" showRowStripes="1" showColumnStripes="0"/>
</table>
</file>

<file path=xl/tables/table37.xml><?xml version="1.0" encoding="utf-8"?>
<table xmlns="http://schemas.openxmlformats.org/spreadsheetml/2006/main" id="40" name="阻害要因×在院期間区分" displayName="阻害要因×在院期間区分" ref="L13:AB33" totalsRowShown="0" headerRowDxfId="892" dataDxfId="891">
  <autoFilter ref="L13:AB3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値" dataDxfId="890"/>
    <tableColumn id="2" name="01_1ヶ月未満" dataDxfId="889"/>
    <tableColumn id="3" name="02_1ヶ月～3ヶ月未満" dataDxfId="888"/>
    <tableColumn id="4" name="03_3ヶ月～6ヶ月未満" dataDxfId="887"/>
    <tableColumn id="5" name="04_6ヶ月～1年未満" dataDxfId="886"/>
    <tableColumn id="6" name="05_1年～1年6ヶ月未満" dataDxfId="885"/>
    <tableColumn id="7" name="06_1年6ヶ月～2年未満" dataDxfId="884"/>
    <tableColumn id="8" name="07_2年～3年未満" dataDxfId="883"/>
    <tableColumn id="9" name="08_3年～4年未満" dataDxfId="882"/>
    <tableColumn id="10" name="09_4年～5年未満" dataDxfId="881"/>
    <tableColumn id="11" name="10_5年～6年未満" dataDxfId="880"/>
    <tableColumn id="12" name="11_6年～7年未満" dataDxfId="879"/>
    <tableColumn id="13" name="12_7年～8年未満" dataDxfId="878"/>
    <tableColumn id="14" name="13_8年～9年未満" dataDxfId="877"/>
    <tableColumn id="15" name="14_9年～10年未満" dataDxfId="876"/>
    <tableColumn id="16" name="15_10年～20年未満" dataDxfId="875"/>
    <tableColumn id="17" name="16_ 20年以上" dataDxfId="874"/>
  </tableColumns>
  <tableStyleInfo name="TableStyleMedium2" showFirstColumn="0" showLastColumn="0" showRowStripes="1" showColumnStripes="0"/>
</table>
</file>

<file path=xl/tables/table38.xml><?xml version="1.0" encoding="utf-8"?>
<table xmlns="http://schemas.openxmlformats.org/spreadsheetml/2006/main" id="42" name="退院予定有無×在院期間区分＿寛解・院内寛解" displayName="退院予定有無×在院期間区分＿寛解・院内寛解" ref="L37:AB40" totalsRowShown="0" headerRowDxfId="873" dataDxfId="872">
  <autoFilter ref="L37:AB4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行ラベル" dataDxfId="871" totalsRowDxfId="870"/>
    <tableColumn id="2" name="01_1ヶ月未満" dataDxfId="869" totalsRowDxfId="868"/>
    <tableColumn id="3" name="02_1ヶ月～3ヶ月未満" dataDxfId="867" totalsRowDxfId="866"/>
    <tableColumn id="4" name="03_3ヶ月～6ヶ月未満" dataDxfId="865" totalsRowDxfId="864"/>
    <tableColumn id="5" name="04_6ヶ月～1年未満" dataDxfId="863" totalsRowDxfId="862"/>
    <tableColumn id="6" name="05_1年～1年6ヶ月未満" dataDxfId="861" totalsRowDxfId="860"/>
    <tableColumn id="7" name="06_1年6ヶ月～2年未満" dataDxfId="859" totalsRowDxfId="858"/>
    <tableColumn id="8" name="07_2年～3年未満" dataDxfId="857" totalsRowDxfId="856"/>
    <tableColumn id="9" name="08_3年～4年未満" dataDxfId="855" totalsRowDxfId="854"/>
    <tableColumn id="10" name="09_4年～5年未満" dataDxfId="853" totalsRowDxfId="852"/>
    <tableColumn id="11" name="10_5年～6年未満" dataDxfId="851" totalsRowDxfId="850"/>
    <tableColumn id="12" name="11_6年～7年未満" dataDxfId="849" totalsRowDxfId="848"/>
    <tableColumn id="13" name="12_7年～8年未満" dataDxfId="847" totalsRowDxfId="846"/>
    <tableColumn id="14" name="13_8年～9年未満" dataDxfId="845" totalsRowDxfId="844"/>
    <tableColumn id="15" name="14_9年～10年未満" dataDxfId="843" totalsRowDxfId="842"/>
    <tableColumn id="16" name="15_10年～20年未満" dataDxfId="841" totalsRowDxfId="840"/>
    <tableColumn id="17" name="16_ 20年以上" dataDxfId="839" totalsRowDxfId="838"/>
  </tableColumns>
  <tableStyleInfo name="TableStyleMedium2" showFirstColumn="0" showLastColumn="0" showRowStripes="1" showColumnStripes="0"/>
</table>
</file>

<file path=xl/tables/table39.xml><?xml version="1.0" encoding="utf-8"?>
<table xmlns="http://schemas.openxmlformats.org/spreadsheetml/2006/main" id="43" name="阻害要因有無×在院期間区分＿寛解・院内寛解" displayName="阻害要因有無×在院期間区分＿寛解・院内寛解" ref="L43:AB46" totalsRowShown="0" headerRowDxfId="837" dataDxfId="836">
  <autoFilter ref="L43:AB4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行ラベル" dataDxfId="835"/>
    <tableColumn id="2" name="01_1ヶ月未満" dataDxfId="834"/>
    <tableColumn id="3" name="02_1ヶ月～3ヶ月未満" dataDxfId="833"/>
    <tableColumn id="4" name="03_3ヶ月～6ヶ月未満" dataDxfId="832"/>
    <tableColumn id="5" name="04_6ヶ月～1年未満" dataDxfId="831"/>
    <tableColumn id="6" name="05_1年～1年6ヶ月未満" dataDxfId="830"/>
    <tableColumn id="7" name="06_1年6ヶ月～2年未満" dataDxfId="829"/>
    <tableColumn id="8" name="07_2年～3年未満" dataDxfId="828"/>
    <tableColumn id="9" name="08_3年～4年未満" dataDxfId="827"/>
    <tableColumn id="10" name="09_4年～5年未満" dataDxfId="826"/>
    <tableColumn id="11" name="10_5年～6年未満" dataDxfId="825"/>
    <tableColumn id="12" name="11_6年～7年未満" dataDxfId="824"/>
    <tableColumn id="13" name="12_7年～8年未満" dataDxfId="823"/>
    <tableColumn id="14" name="13_8年～9年未満" dataDxfId="822"/>
    <tableColumn id="15" name="14_9年～10年未満" dataDxfId="821"/>
    <tableColumn id="16" name="15_10年～20年未満" dataDxfId="820"/>
    <tableColumn id="17" name="16_ 20年以上" dataDxfId="819"/>
  </tableColumns>
  <tableStyleInfo name="TableStyleMedium2" showFirstColumn="0" showLastColumn="0" showRowStripes="1" showColumnStripes="0"/>
</table>
</file>

<file path=xl/tables/table4.xml><?xml version="1.0" encoding="utf-8"?>
<table xmlns="http://schemas.openxmlformats.org/spreadsheetml/2006/main" id="3" name="入院形態" displayName="入院形態" ref="G4:H12" totalsRowShown="0" headerRowDxfId="997">
  <autoFilter ref="G4:H12">
    <filterColumn colId="0" hiddenButton="1"/>
    <filterColumn colId="1" hiddenButton="1"/>
  </autoFilter>
  <tableColumns count="2">
    <tableColumn id="1" name="行ラベル" dataDxfId="996"/>
    <tableColumn id="2" name="データの個数 / 入院" dataDxfId="995"/>
  </tableColumns>
  <tableStyleInfo name="TableStyleMedium2" showFirstColumn="0" showLastColumn="0" showRowStripes="1" showColumnStripes="0"/>
</table>
</file>

<file path=xl/tables/table40.xml><?xml version="1.0" encoding="utf-8"?>
<table xmlns="http://schemas.openxmlformats.org/spreadsheetml/2006/main" id="44" name="阻害要因×在院期間区分＿寛解・院内寛解" displayName="阻害要因×在院期間区分＿寛解・院内寛解" ref="L47:AB67" totalsRowShown="0" headerRowDxfId="818" dataDxfId="817">
  <autoFilter ref="L47:AB6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値" dataDxfId="816"/>
    <tableColumn id="2" name="01_1ヶ月未満" dataDxfId="815"/>
    <tableColumn id="3" name="02_1ヶ月～3ヶ月未満" dataDxfId="814"/>
    <tableColumn id="4" name="03_3ヶ月～6ヶ月未満" dataDxfId="813"/>
    <tableColumn id="5" name="04_6ヶ月～1年未満" dataDxfId="812"/>
    <tableColumn id="6" name="05_1年～1年6ヶ月未満" dataDxfId="811"/>
    <tableColumn id="7" name="06_1年6ヶ月～2年未満" dataDxfId="810"/>
    <tableColumn id="8" name="07_2年～3年未満" dataDxfId="809"/>
    <tableColumn id="9" name="08_3年～4年未満" dataDxfId="808"/>
    <tableColumn id="10" name="09_4年～5年未満" dataDxfId="807"/>
    <tableColumn id="11" name="10_5年～6年未満" dataDxfId="806"/>
    <tableColumn id="12" name="11_6年～7年未満" dataDxfId="805"/>
    <tableColumn id="13" name="12_7年～8年未満" dataDxfId="804"/>
    <tableColumn id="14" name="13_8年～9年未満" dataDxfId="803"/>
    <tableColumn id="15" name="14_9年～10年未満" dataDxfId="802"/>
    <tableColumn id="16" name="15_10年～20年未満" dataDxfId="801"/>
    <tableColumn id="17" name="16_ 20年以上" dataDxfId="800"/>
  </tableColumns>
  <tableStyleInfo name="TableStyleMedium2" showFirstColumn="0" showLastColumn="0" showRowStripes="1" showColumnStripes="0"/>
</table>
</file>

<file path=xl/tables/table41.xml><?xml version="1.0" encoding="utf-8"?>
<table xmlns="http://schemas.openxmlformats.org/spreadsheetml/2006/main" id="38" name="退院予定有無×在院期間区分" displayName="退院予定有無×在院期間区分" ref="L3:AB6" totalsRowShown="0" headerRowDxfId="799" dataDxfId="798">
  <autoFilter ref="L3:AB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行ラベル" dataDxfId="797"/>
    <tableColumn id="2" name="01_1ヶ月未満" dataDxfId="796"/>
    <tableColumn id="3" name="02_1ヶ月～3ヶ月未満" dataDxfId="795"/>
    <tableColumn id="4" name="03_3ヶ月～6ヶ月未満" dataDxfId="794"/>
    <tableColumn id="5" name="04_6ヶ月～1年未満" dataDxfId="793"/>
    <tableColumn id="6" name="05_1年～1年6ヶ月未満" dataDxfId="792"/>
    <tableColumn id="7" name="06_1年6ヶ月～2年未満" dataDxfId="791"/>
    <tableColumn id="8" name="07_2年～3年未満" dataDxfId="790"/>
    <tableColumn id="9" name="08_3年～4年未満" dataDxfId="789"/>
    <tableColumn id="10" name="09_4年～5年未満" dataDxfId="788"/>
    <tableColumn id="11" name="10_5年～6年未満" dataDxfId="787"/>
    <tableColumn id="12" name="11_6年～7年未満" dataDxfId="786"/>
    <tableColumn id="13" name="12_7年～8年未満" dataDxfId="785"/>
    <tableColumn id="14" name="13_8年～9年未満" dataDxfId="784"/>
    <tableColumn id="15" name="14_9年～10年未満" dataDxfId="783"/>
    <tableColumn id="16" name="15_10年～20年未満" dataDxfId="782"/>
    <tableColumn id="17" name="16_ 20年以上" dataDxfId="781"/>
  </tableColumns>
  <tableStyleInfo name="TableStyleMedium2" showFirstColumn="0" showLastColumn="0" showRowStripes="1" showColumnStripes="0"/>
</table>
</file>

<file path=xl/tables/table42.xml><?xml version="1.0" encoding="utf-8"?>
<table xmlns="http://schemas.openxmlformats.org/spreadsheetml/2006/main" id="17" name="退院予定有無×疾患名＿寛解・院内寛解" displayName="退院予定有無×疾患名＿寛解・院内寛解" ref="L39:AD42" totalsRowShown="0" headerRowDxfId="780" dataDxfId="779">
  <autoFilter ref="L39:AD4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9">
    <tableColumn id="1" name="行ラベル" dataDxfId="778"/>
    <tableColumn id="2" name="F00アルツハイマー病型認知症" dataDxfId="777"/>
    <tableColumn id="3" name="F01血管性認知症" dataDxfId="776"/>
    <tableColumn id="4" name="F02-09上記以外の症状性を含む器質性精神障害" dataDxfId="775"/>
    <tableColumn id="5" name="F10アルコール使用による精神及び行動の障害" dataDxfId="774"/>
    <tableColumn id="6" name="アルコール覚せい剤を除く精神作用物質使用による精神及び行動の障害※" dataDxfId="773"/>
    <tableColumn id="7" name="覚せい剤による精神及び行動の障害※" dataDxfId="772"/>
    <tableColumn id="8" name="F2統合失調症、統合失調症型障害及び妄想性障害" dataDxfId="771"/>
    <tableColumn id="9" name="F30‐31　躁病エピソード・双極性感情障害［躁うつ病］" dataDxfId="770"/>
    <tableColumn id="10" name="F32-39　その他の気分障害" dataDxfId="769"/>
    <tableColumn id="11" name="F4神経症性障害、ストレス関連障害及び身体表現性障害" dataDxfId="768"/>
    <tableColumn id="12" name="F5生理的障害及び身体的要因に関連した行動症候群" dataDxfId="767"/>
    <tableColumn id="13" name="F6成人のパーソナリティ及び行動の障害" dataDxfId="766"/>
    <tableColumn id="14" name="F7精神遅滞〔知的障害〕" dataDxfId="765"/>
    <tableColumn id="15" name="F8心理的発達の障害" dataDxfId="764"/>
    <tableColumn id="16" name="F9小児期及び青年期に通常発症する行動及び情緒の障害及び特定不能の精神障害" dataDxfId="763"/>
    <tableColumn id="17" name="その他" dataDxfId="762"/>
    <tableColumn id="18" name="てんかん（F0に属さないものを計上する）" dataDxfId="761"/>
    <tableColumn id="19" name="不明" dataDxfId="760"/>
  </tableColumns>
  <tableStyleInfo name="TableStyleMedium2" showFirstColumn="0" showLastColumn="0" showRowStripes="1" showColumnStripes="0"/>
</table>
</file>

<file path=xl/tables/table43.xml><?xml version="1.0" encoding="utf-8"?>
<table xmlns="http://schemas.openxmlformats.org/spreadsheetml/2006/main" id="18" name="退院予定有無×疾患名" displayName="退院予定有無×疾患名" ref="L4:AD7" totalsRowShown="0" headerRowDxfId="759" dataDxfId="758">
  <autoFilter ref="L4:AD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9">
    <tableColumn id="1" name="行ラベル" dataDxfId="757"/>
    <tableColumn id="2" name="F00アルツハイマー病型認知症" dataDxfId="756"/>
    <tableColumn id="3" name="F01血管性認知症" dataDxfId="755"/>
    <tableColumn id="4" name="F02-09上記以外の症状性を含む器質性精神障害" dataDxfId="754"/>
    <tableColumn id="5" name="F10アルコール使用による精神及び行動の障害" dataDxfId="753"/>
    <tableColumn id="6" name="アルコール覚せい剤を除く精神作用物質使用による精神及び行動の障害※" dataDxfId="752"/>
    <tableColumn id="7" name="覚せい剤による精神及び行動の障害※" dataDxfId="751"/>
    <tableColumn id="8" name="F2統合失調症、統合失調症型障害及び妄想性障害" dataDxfId="750"/>
    <tableColumn id="9" name="F30‐31　躁病エピソード・双極性感情障害［躁うつ病］" dataDxfId="749"/>
    <tableColumn id="10" name="F32-39　その他の気分障害" dataDxfId="748"/>
    <tableColumn id="11" name="F4神経症性障害、ストレス関連障害及び身体表現性障害" dataDxfId="747"/>
    <tableColumn id="12" name="F5生理的障害及び身体的要因に関連した行動症候群" dataDxfId="746"/>
    <tableColumn id="13" name="F6成人のパーソナリティ及び行動の障害" dataDxfId="745"/>
    <tableColumn id="14" name="F7精神遅滞〔知的障害〕" dataDxfId="744"/>
    <tableColumn id="15" name="F8心理的発達の障害" dataDxfId="743"/>
    <tableColumn id="16" name="F9小児期及び青年期に通常発症する行動及び情緒の障害及び特定不能の精神障害" dataDxfId="742"/>
    <tableColumn id="17" name="その他" dataDxfId="741"/>
    <tableColumn id="18" name="てんかん（F0に属さないものを計上する）" dataDxfId="740"/>
    <tableColumn id="19" name="不明" dataDxfId="739"/>
  </tableColumns>
  <tableStyleInfo name="TableStyleMedium2" showFirstColumn="0" showLastColumn="0" showRowStripes="1" showColumnStripes="0"/>
</table>
</file>

<file path=xl/tables/table44.xml><?xml version="1.0" encoding="utf-8"?>
<table xmlns="http://schemas.openxmlformats.org/spreadsheetml/2006/main" id="41" name="阻害要因有無×疾患名" displayName="阻害要因有無×疾患名" ref="L10:AD12" totalsRowShown="0" headerRowDxfId="738" dataDxfId="737">
  <autoFilter ref="L10:AD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9">
    <tableColumn id="1" name="行ラベル" dataDxfId="736"/>
    <tableColumn id="2" name="F00アルツハイマー病型認知症" dataDxfId="735"/>
    <tableColumn id="3" name="F01血管性認知症" dataDxfId="734"/>
    <tableColumn id="4" name="F02-09上記以外の症状性を含む器質性精神障害" dataDxfId="733"/>
    <tableColumn id="5" name="F10アルコール使用による精神及び行動の障害" dataDxfId="732"/>
    <tableColumn id="6" name="F2統合失調症、統合失調症型障害及び妄想性障害" dataDxfId="731"/>
    <tableColumn id="7" name="F30‐31　躁病エピソード・双極性感情障害［躁うつ病］" dataDxfId="730"/>
    <tableColumn id="8" name="F32-39　その他の気分障害" dataDxfId="729"/>
    <tableColumn id="9" name="F4神経症性障害、ストレス関連障害及び身体表現性障害" dataDxfId="728"/>
    <tableColumn id="10" name="F5生理的障害及び身体的要因に関連した行動症候群" dataDxfId="727"/>
    <tableColumn id="11" name="F6成人のパーソナリティ及び行動の障害" dataDxfId="726"/>
    <tableColumn id="12" name="F7精神遅滞〔知的障害〕" dataDxfId="725"/>
    <tableColumn id="13" name="F8心理的発達の障害" dataDxfId="724"/>
    <tableColumn id="14" name="F9小児期及び青年期に通常発症する行動及び情緒の障害及び特定不能の精神障害" dataDxfId="723"/>
    <tableColumn id="15" name="アルコール覚せい剤を除く精神作用物質使用による精神及び行動の障害※" dataDxfId="722"/>
    <tableColumn id="16" name="その他" dataDxfId="721"/>
    <tableColumn id="17" name="てんかん（F0に属さないものを計上する）" dataDxfId="720"/>
    <tableColumn id="18" name="覚せい剤による精神及び行動の障害※" dataDxfId="719"/>
    <tableColumn id="19" name="不明" dataDxfId="718"/>
  </tableColumns>
  <tableStyleInfo name="TableStyleMedium2" showFirstColumn="0" showLastColumn="0" showRowStripes="1" showColumnStripes="0"/>
</table>
</file>

<file path=xl/tables/table45.xml><?xml version="1.0" encoding="utf-8"?>
<table xmlns="http://schemas.openxmlformats.org/spreadsheetml/2006/main" id="45" name="阻害要因×疾患名" displayName="阻害要因×疾患名" ref="L14:AD34" totalsRowShown="0" headerRowDxfId="717" dataDxfId="716">
  <autoFilter ref="L14:AD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9">
    <tableColumn id="1" name="値" dataDxfId="715"/>
    <tableColumn id="2" name="(空白)" dataDxfId="714"/>
    <tableColumn id="3" name="F2統合失調症、統合失調症型障害及び妄想性障害" dataDxfId="713"/>
    <tableColumn id="4" name="F30‐31　躁病エピソード・双極性感情障害［躁うつ病］" dataDxfId="712"/>
    <tableColumn id="5" name="F10アルコール使用による精神及び行動の障害" dataDxfId="711"/>
    <tableColumn id="6" name="F32-39　その他の気分障害" dataDxfId="710"/>
    <tableColumn id="7" name="F02-09上記以外の症状性を含む器質性精神障害" dataDxfId="709"/>
    <tableColumn id="8" name="F00アルツハイマー病型認知症" dataDxfId="708"/>
    <tableColumn id="9" name="F01血管性認知症" dataDxfId="707"/>
    <tableColumn id="10" name="その他" dataDxfId="706"/>
    <tableColumn id="11" name="F7精神遅滞〔知的障害〕" dataDxfId="705"/>
    <tableColumn id="12" name="F4神経症性障害、ストレス関連障害及び身体表現性障害" dataDxfId="704"/>
    <tableColumn id="13" name="F6成人のパーソナリティ及び行動の障害" dataDxfId="703"/>
    <tableColumn id="14" name="アルコール覚せい剤を除く精神作用物質使用による精神及び行動の障害※" dataDxfId="702"/>
    <tableColumn id="15" name="てんかん（F0に属さないものを計上する）" dataDxfId="701"/>
    <tableColumn id="16" name="F8心理的発達の障害" dataDxfId="700"/>
    <tableColumn id="17" name="覚せい剤による精神及び行動の障害※" dataDxfId="699"/>
    <tableColumn id="18" name="F9小児期及び青年期に通常発症する行動及び情緒の障害及び特定不能の精神障害" dataDxfId="698"/>
    <tableColumn id="19" name="F5生理的障害及び身体的要因に関連した行動症候群" dataDxfId="697"/>
  </tableColumns>
  <tableStyleInfo name="TableStyleMedium2" showFirstColumn="0" showLastColumn="0" showRowStripes="1" showColumnStripes="0"/>
</table>
</file>

<file path=xl/tables/table46.xml><?xml version="1.0" encoding="utf-8"?>
<table xmlns="http://schemas.openxmlformats.org/spreadsheetml/2006/main" id="46" name="阻害要因有無×疾患名＿寛解・院内寛解" displayName="阻害要因有無×疾患名＿寛解・院内寛解" ref="L45:AD47" totalsRowShown="0" headerRowDxfId="696" dataDxfId="695">
  <autoFilter ref="L45:AD4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9">
    <tableColumn id="1" name="行ラベル" dataDxfId="694"/>
    <tableColumn id="2" name="F00アルツハイマー病型認知症" dataDxfId="693"/>
    <tableColumn id="3" name="F01血管性認知症" dataDxfId="692"/>
    <tableColumn id="4" name="F02-09上記以外の症状性を含む器質性精神障害" dataDxfId="691"/>
    <tableColumn id="5" name="F10アルコール使用による精神及び行動の障害" dataDxfId="690"/>
    <tableColumn id="6" name="F2統合失調症、統合失調症型障害及び妄想性障害" dataDxfId="689"/>
    <tableColumn id="7" name="F30‐31　躁病エピソード・双極性感情障害［躁うつ病］" dataDxfId="688"/>
    <tableColumn id="8" name="F32-39　その他の気分障害" dataDxfId="687"/>
    <tableColumn id="9" name="F4神経症性障害、ストレス関連障害及び身体表現性障害" dataDxfId="686"/>
    <tableColumn id="10" name="F5生理的障害及び身体的要因に関連した行動症候群" dataDxfId="685"/>
    <tableColumn id="11" name="F6成人のパーソナリティ及び行動の障害" dataDxfId="684"/>
    <tableColumn id="12" name="F7精神遅滞〔知的障害〕" dataDxfId="683"/>
    <tableColumn id="13" name="F8心理的発達の障害" dataDxfId="682"/>
    <tableColumn id="14" name="F9小児期及び青年期に通常発症する行動及び情緒の障害及び特定不能の精神障害" dataDxfId="681"/>
    <tableColumn id="15" name="アルコール覚せい剤を除く精神作用物質使用による精神及び行動の障害※" dataDxfId="680"/>
    <tableColumn id="16" name="その他" dataDxfId="679"/>
    <tableColumn id="17" name="てんかん（F0に属さないものを計上する）" dataDxfId="678"/>
    <tableColumn id="18" name="覚せい剤による精神及び行動の障害※" dataDxfId="677"/>
    <tableColumn id="19" name="不明" dataDxfId="676"/>
  </tableColumns>
  <tableStyleInfo name="TableStyleMedium2" showFirstColumn="0" showLastColumn="0" showRowStripes="1" showColumnStripes="0"/>
</table>
</file>

<file path=xl/tables/table47.xml><?xml version="1.0" encoding="utf-8"?>
<table xmlns="http://schemas.openxmlformats.org/spreadsheetml/2006/main" id="47" name="阻害要因×疾患名＿寛解・院内寛解" displayName="阻害要因×疾患名＿寛解・院内寛解" ref="L49:AD69" totalsRowShown="0" headerRowDxfId="675" dataDxfId="674">
  <autoFilter ref="L49:AD6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9">
    <tableColumn id="1" name="値" dataDxfId="673"/>
    <tableColumn id="2" name="F2統合失調症、統合失調症型障害及び妄想性障害" dataDxfId="672"/>
    <tableColumn id="3" name="F30‐31　躁病エピソード・双極性感情障害［躁うつ病］" dataDxfId="671"/>
    <tableColumn id="4" name="F10アルコール使用による精神及び行動の障害" dataDxfId="670"/>
    <tableColumn id="5" name="F32-39　その他の気分障害" dataDxfId="669"/>
    <tableColumn id="6" name="F02-09上記以外の症状性を含む器質性精神障害" dataDxfId="668"/>
    <tableColumn id="7" name="F00アルツハイマー病型認知症" dataDxfId="667"/>
    <tableColumn id="8" name="F01血管性認知症" dataDxfId="666"/>
    <tableColumn id="9" name="その他" dataDxfId="665"/>
    <tableColumn id="10" name="F7精神遅滞〔知的障害〕" dataDxfId="664"/>
    <tableColumn id="11" name="F4神経症性障害、ストレス関連障害及び身体表現性障害" dataDxfId="663"/>
    <tableColumn id="12" name="F6成人のパーソナリティ及び行動の障害" dataDxfId="662"/>
    <tableColumn id="13" name="アルコール覚せい剤を除く精神作用物質使用による精神及び行動の障害※" dataDxfId="661"/>
    <tableColumn id="14" name="てんかん（F0に属さないものを計上する）" dataDxfId="660"/>
    <tableColumn id="15" name="F8心理的発達の障害" dataDxfId="659"/>
    <tableColumn id="16" name="覚せい剤による精神及び行動の障害※" dataDxfId="658"/>
    <tableColumn id="17" name="F9小児期及び青年期に通常発症する行動及び情緒の障害及び特定不能の精神障害" dataDxfId="657"/>
    <tableColumn id="18" name="F5生理的障害及び身体的要因に関連した行動症候群" dataDxfId="656"/>
    <tableColumn id="19" name="総計" dataDxfId="655"/>
  </tableColumns>
  <tableStyleInfo name="TableStyleMedium2" showFirstColumn="0" showLastColumn="0" showRowStripes="1" showColumnStripes="0"/>
</table>
</file>

<file path=xl/tables/table48.xml><?xml version="1.0" encoding="utf-8"?>
<table xmlns="http://schemas.openxmlformats.org/spreadsheetml/2006/main" id="48" name="年齢階層×在院期間区分F2" displayName="年齢階層×在院期間区分F2" ref="O3:AF12" totalsRowShown="0" headerRowDxfId="654" dataDxfId="653">
  <autoFilter ref="O3:AF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8">
    <tableColumn id="1" name="行ラベル" dataDxfId="652"/>
    <tableColumn id="2" name="01_1ヶ月未満" dataDxfId="651"/>
    <tableColumn id="3" name="02_1ヶ月～3ヶ月未満" dataDxfId="650"/>
    <tableColumn id="4" name="03_3ヶ月～6ヶ月未満" dataDxfId="649"/>
    <tableColumn id="5" name="04_6ヶ月～1年未満" dataDxfId="648"/>
    <tableColumn id="6" name="05_1年～1年6ヶ月未満" dataDxfId="647"/>
    <tableColumn id="7" name="06_1年6ヶ月～2年未満" dataDxfId="646"/>
    <tableColumn id="8" name="07_2年～3年未満" dataDxfId="645"/>
    <tableColumn id="9" name="08_3年～4年未満" dataDxfId="644"/>
    <tableColumn id="10" name="09_4年～5年未満" dataDxfId="643"/>
    <tableColumn id="11" name="10_5年～6年未満" dataDxfId="642"/>
    <tableColumn id="12" name="11_6年～7年未満" dataDxfId="641"/>
    <tableColumn id="13" name="12_7年～8年未満" dataDxfId="640"/>
    <tableColumn id="14" name="13_8年～9年未満" dataDxfId="639"/>
    <tableColumn id="15" name="14_9年～10年未満" dataDxfId="638"/>
    <tableColumn id="16" name="15_10年～20年未満" dataDxfId="637"/>
    <tableColumn id="17" name="16_ 20年以上" dataDxfId="636"/>
    <tableColumn id="18" name="列18" dataDxfId="635"/>
  </tableColumns>
  <tableStyleInfo name="TableStyleMedium2" showFirstColumn="0" showLastColumn="0" showRowStripes="1" showColumnStripes="0"/>
</table>
</file>

<file path=xl/tables/table49.xml><?xml version="1.0" encoding="utf-8"?>
<table xmlns="http://schemas.openxmlformats.org/spreadsheetml/2006/main" id="49" name="年齢階層×在院期間区分F2_65歳未満以上" displayName="年齢階層×在院期間区分F2_65歳未満以上" ref="O13:AF15" totalsRowShown="0" headerRowDxfId="634" dataDxfId="633">
  <autoFilter ref="O13:AF1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8">
    <tableColumn id="1" name="列1" dataDxfId="632"/>
    <tableColumn id="2" name="01_1ヶ月未満" dataDxfId="631"/>
    <tableColumn id="3" name="02_1ヶ月～3ヶ月未満" dataDxfId="630"/>
    <tableColumn id="4" name="03_3ヶ月～6ヶ月未満" dataDxfId="629"/>
    <tableColumn id="5" name="04_6ヶ月～1年未満" dataDxfId="628"/>
    <tableColumn id="6" name="05_1年～1年6ヶ月未満" dataDxfId="627"/>
    <tableColumn id="7" name="06_1年6ヶ月～2年未満" dataDxfId="626"/>
    <tableColumn id="8" name="07_2年～3年未満" dataDxfId="625"/>
    <tableColumn id="9" name="08_3年～4年未満" dataDxfId="624"/>
    <tableColumn id="10" name="09_4年～5年未満" dataDxfId="623"/>
    <tableColumn id="11" name="10_5年～6年未満" dataDxfId="622"/>
    <tableColumn id="12" name="11_6年～7年未満" dataDxfId="621"/>
    <tableColumn id="13" name="12_7年～8年未満" dataDxfId="620"/>
    <tableColumn id="14" name="13_8年～9年未満" dataDxfId="619"/>
    <tableColumn id="15" name="14_9年～10年未満" dataDxfId="618"/>
    <tableColumn id="16" name="15_10年～20年未満" dataDxfId="617"/>
    <tableColumn id="17" name="16_ 20年以上" dataDxfId="616"/>
    <tableColumn id="18" name="列18" dataDxfId="615"/>
  </tableColumns>
  <tableStyleInfo name="TableStyleMedium2" showFirstColumn="0" showLastColumn="0" showRowStripes="1" showColumnStripes="0"/>
</table>
</file>

<file path=xl/tables/table5.xml><?xml version="1.0" encoding="utf-8"?>
<table xmlns="http://schemas.openxmlformats.org/spreadsheetml/2006/main" id="5" name="入院形態_寛解" displayName="入院形態_寛解" ref="G14:H22" totalsRowShown="0" headerRowDxfId="994">
  <autoFilter ref="G14:H22">
    <filterColumn colId="0" hiddenButton="1"/>
    <filterColumn colId="1" hiddenButton="1"/>
  </autoFilter>
  <tableColumns count="2">
    <tableColumn id="1" name="行ラベル" dataDxfId="993"/>
    <tableColumn id="2" name="データの個数 / 入院" dataDxfId="992"/>
  </tableColumns>
  <tableStyleInfo name="TableStyleMedium2" showFirstColumn="0" showLastColumn="0" showRowStripes="1" showColumnStripes="0"/>
</table>
</file>

<file path=xl/tables/table50.xml><?xml version="1.0" encoding="utf-8"?>
<table xmlns="http://schemas.openxmlformats.org/spreadsheetml/2006/main" id="50" name="年齢階層×在院期間区分F2＿寛解・院内寛解" displayName="年齢階層×在院期間区分F2＿寛解・院内寛解" ref="O19:AE28" totalsRowShown="0" headerRowDxfId="614" dataDxfId="613">
  <autoFilter ref="O19:AE2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行ラベル" dataDxfId="612"/>
    <tableColumn id="2" name="01_1ヶ月未満" dataDxfId="611"/>
    <tableColumn id="3" name="02_1ヶ月～3ヶ月未満" dataDxfId="610"/>
    <tableColumn id="4" name="03_3ヶ月～6ヶ月未満" dataDxfId="609"/>
    <tableColumn id="5" name="04_6ヶ月～1年未満" dataDxfId="608"/>
    <tableColumn id="6" name="05_1年～1年6ヶ月未満" dataDxfId="607"/>
    <tableColumn id="7" name="06_1年6ヶ月～2年未満" dataDxfId="606"/>
    <tableColumn id="8" name="07_2年～3年未満" dataDxfId="605"/>
    <tableColumn id="9" name="08_3年～4年未満" dataDxfId="604"/>
    <tableColumn id="10" name="09_4年～5年未満" dataDxfId="603"/>
    <tableColumn id="11" name="10_5年～6年未満" dataDxfId="602"/>
    <tableColumn id="12" name="11_6年～7年未満" dataDxfId="601"/>
    <tableColumn id="13" name="12_7年～8年未満" dataDxfId="600"/>
    <tableColumn id="14" name="13_8年～9年未満" dataDxfId="599"/>
    <tableColumn id="15" name="14_9年～10年未満" dataDxfId="598"/>
    <tableColumn id="16" name="15_10年～20年未満" dataDxfId="597"/>
    <tableColumn id="17" name="16_ 20年以上" dataDxfId="596"/>
  </tableColumns>
  <tableStyleInfo name="TableStyleMedium2" showFirstColumn="0" showLastColumn="0" showRowStripes="1" showColumnStripes="0"/>
</table>
</file>

<file path=xl/tables/table51.xml><?xml version="1.0" encoding="utf-8"?>
<table xmlns="http://schemas.openxmlformats.org/spreadsheetml/2006/main" id="51" name="年齢階層×在院期間区分F2_65歳未満以上＿寛解・院内寛解" displayName="年齢階層×在院期間区分F2_65歳未満以上＿寛解・院内寛解" ref="O29:AE31" totalsRowShown="0" headerRowDxfId="595">
  <autoFilter ref="O29:AE3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列1" dataDxfId="594"/>
    <tableColumn id="2" name="01_1ヶ月未満" dataDxfId="593"/>
    <tableColumn id="3" name="02_1ヶ月～3ヶ月未満" dataDxfId="592"/>
    <tableColumn id="4" name="03_3ヶ月～6ヶ月未満" dataDxfId="591"/>
    <tableColumn id="5" name="04_6ヶ月～1年未満" dataDxfId="590"/>
    <tableColumn id="6" name="05_1年～1年6ヶ月未満" dataDxfId="589"/>
    <tableColumn id="7" name="06_1年6ヶ月～2年未満" dataDxfId="588"/>
    <tableColumn id="8" name="07_2年～3年未満" dataDxfId="587"/>
    <tableColumn id="9" name="08_3年～4年未満" dataDxfId="586"/>
    <tableColumn id="10" name="09_4年～5年未満" dataDxfId="585"/>
    <tableColumn id="11" name="10_5年～6年未満" dataDxfId="584"/>
    <tableColumn id="12" name="11_6年～7年未満" dataDxfId="583"/>
    <tableColumn id="13" name="12_7年～8年未満" dataDxfId="582"/>
    <tableColumn id="14" name="13_8年～9年未満" dataDxfId="581"/>
    <tableColumn id="15" name="14_9年～10年未満" dataDxfId="580"/>
    <tableColumn id="16" name="15_10年～20年未満" dataDxfId="579"/>
    <tableColumn id="17" name="16_ 20年以上" dataDxfId="578"/>
  </tableColumns>
  <tableStyleInfo name="TableStyleMedium2" showFirstColumn="0" showLastColumn="0" showRowStripes="1" showColumnStripes="0"/>
</table>
</file>

<file path=xl/tables/table52.xml><?xml version="1.0" encoding="utf-8"?>
<table xmlns="http://schemas.openxmlformats.org/spreadsheetml/2006/main" id="52" name="年齢階層×在院期間区分F00F01" displayName="年齢階層×在院期間区分F00F01" ref="O3:AE12" totalsRowShown="0" headerRowDxfId="577" dataDxfId="576">
  <autoFilter ref="O3:AE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行ラベル" dataDxfId="575"/>
    <tableColumn id="2" name="01_1ヶ月未満" dataDxfId="574"/>
    <tableColumn id="3" name="02_1ヶ月～3ヶ月未満" dataDxfId="573"/>
    <tableColumn id="4" name="03_3ヶ月～6ヶ月未満" dataDxfId="572"/>
    <tableColumn id="5" name="04_6ヶ月～1年未満" dataDxfId="571"/>
    <tableColumn id="6" name="05_1年～1年6ヶ月未満" dataDxfId="570"/>
    <tableColumn id="7" name="06_1年6ヶ月～2年未満" dataDxfId="569"/>
    <tableColumn id="8" name="07_2年～3年未満" dataDxfId="568"/>
    <tableColumn id="9" name="08_3年～4年未満" dataDxfId="567"/>
    <tableColumn id="10" name="09_4年～5年未満" dataDxfId="566"/>
    <tableColumn id="11" name="10_5年～6年未満" dataDxfId="565"/>
    <tableColumn id="12" name="11_6年～7年未満" dataDxfId="564"/>
    <tableColumn id="13" name="12_7年～8年未満" dataDxfId="563"/>
    <tableColumn id="14" name="13_8年～9年未満" dataDxfId="562"/>
    <tableColumn id="15" name="14_9年～10年未満" dataDxfId="561"/>
    <tableColumn id="16" name="15_10年～20年未満" dataDxfId="560"/>
    <tableColumn id="17" name="16_ 20年以上" dataDxfId="559"/>
  </tableColumns>
  <tableStyleInfo name="TableStyleMedium2" showFirstColumn="0" showLastColumn="0" showRowStripes="1" showColumnStripes="0"/>
</table>
</file>

<file path=xl/tables/table53.xml><?xml version="1.0" encoding="utf-8"?>
<table xmlns="http://schemas.openxmlformats.org/spreadsheetml/2006/main" id="53" name="年齢階層×在院期間区分F00F01_65歳未満以上" displayName="年齢階層×在院期間区分F00F01_65歳未満以上" ref="O13:AE15" totalsRowShown="0" headerRowDxfId="558" dataDxfId="557">
  <autoFilter ref="O13:AE1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列1" dataDxfId="556"/>
    <tableColumn id="2" name="01_1ヶ月未満" dataDxfId="555"/>
    <tableColumn id="3" name="02_1ヶ月～3ヶ月未満" dataDxfId="554"/>
    <tableColumn id="4" name="03_3ヶ月～6ヶ月未満" dataDxfId="553"/>
    <tableColumn id="5" name="04_6ヶ月～1年未満" dataDxfId="552"/>
    <tableColumn id="6" name="05_1年～1年6ヶ月未満" dataDxfId="551"/>
    <tableColumn id="7" name="06_1年6ヶ月～2年未満" dataDxfId="550"/>
    <tableColumn id="8" name="07_2年～3年未満" dataDxfId="549"/>
    <tableColumn id="9" name="08_3年～4年未満" dataDxfId="548"/>
    <tableColumn id="10" name="09_4年～5年未満" dataDxfId="547"/>
    <tableColumn id="11" name="10_5年～6年未満" dataDxfId="546"/>
    <tableColumn id="12" name="11_6年～7年未満" dataDxfId="545"/>
    <tableColumn id="13" name="12_7年～8年未満" dataDxfId="544"/>
    <tableColumn id="14" name="13_8年～9年未満" dataDxfId="543"/>
    <tableColumn id="15" name="14_9年～10年未満" dataDxfId="542"/>
    <tableColumn id="16" name="15_10年～20年未満" dataDxfId="541"/>
    <tableColumn id="17" name="16_ 20年以上" dataDxfId="540"/>
  </tableColumns>
  <tableStyleInfo name="TableStyleMedium2" showFirstColumn="0" showLastColumn="0" showRowStripes="1" showColumnStripes="0"/>
</table>
</file>

<file path=xl/tables/table54.xml><?xml version="1.0" encoding="utf-8"?>
<table xmlns="http://schemas.openxmlformats.org/spreadsheetml/2006/main" id="54" name="年齢階層×在院期間区分F00F01＿寛解・院内寛解" displayName="年齢階層×在院期間区分F00F01＿寛解・院内寛解" ref="O19:AE28" totalsRowShown="0" headerRowDxfId="539" dataDxfId="538">
  <autoFilter ref="O19:AE2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行ラベル" dataDxfId="537"/>
    <tableColumn id="2" name="01_1ヶ月未満" dataDxfId="536"/>
    <tableColumn id="3" name="02_1ヶ月～3ヶ月未満" dataDxfId="535"/>
    <tableColumn id="4" name="03_3ヶ月～6ヶ月未満" dataDxfId="534"/>
    <tableColumn id="5" name="04_6ヶ月～1年未満" dataDxfId="533"/>
    <tableColumn id="6" name="05_1年～1年6ヶ月未満" dataDxfId="532"/>
    <tableColumn id="7" name="06_1年6ヶ月～2年未満" dataDxfId="531"/>
    <tableColumn id="8" name="07_2年～3年未満" dataDxfId="530"/>
    <tableColumn id="9" name="08_3年～4年未満" dataDxfId="529"/>
    <tableColumn id="10" name="09_4年～5年未満" dataDxfId="528"/>
    <tableColumn id="11" name="10_5年～6年未満" dataDxfId="527"/>
    <tableColumn id="12" name="11_6年～7年未満" dataDxfId="526"/>
    <tableColumn id="13" name="12_7年～8年未満" dataDxfId="525"/>
    <tableColumn id="14" name="13_8年～9年未満" dataDxfId="524"/>
    <tableColumn id="15" name="14_9年～10年未満" dataDxfId="523"/>
    <tableColumn id="16" name="15_10年～20年未満" dataDxfId="522"/>
    <tableColumn id="17" name="16_ 20年以上" dataDxfId="521"/>
  </tableColumns>
  <tableStyleInfo name="TableStyleMedium2" showFirstColumn="0" showLastColumn="0" showRowStripes="1" showColumnStripes="0"/>
</table>
</file>

<file path=xl/tables/table55.xml><?xml version="1.0" encoding="utf-8"?>
<table xmlns="http://schemas.openxmlformats.org/spreadsheetml/2006/main" id="55" name="年齢階層×在院期間区分F00F01_65歳未満以上＿寛解・院内寛解" displayName="年齢階層×在院期間区分F00F01_65歳未満以上＿寛解・院内寛解" ref="O29:AE31" totalsRowShown="0" headerRowDxfId="520">
  <autoFilter ref="O29:AE3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列1" dataDxfId="519"/>
    <tableColumn id="2" name="01_1ヶ月未満" dataDxfId="518"/>
    <tableColumn id="3" name="02_1ヶ月～3ヶ月未満" dataDxfId="517"/>
    <tableColumn id="4" name="03_3ヶ月～6ヶ月未満" dataDxfId="516"/>
    <tableColumn id="5" name="04_6ヶ月～1年未満" dataDxfId="515"/>
    <tableColumn id="6" name="05_1年～1年6ヶ月未満" dataDxfId="514"/>
    <tableColumn id="7" name="06_1年6ヶ月～2年未満" dataDxfId="513"/>
    <tableColumn id="8" name="07_2年～3年未満" dataDxfId="512"/>
    <tableColumn id="9" name="08_3年～4年未満" dataDxfId="511"/>
    <tableColumn id="10" name="09_4年～5年未満" dataDxfId="510"/>
    <tableColumn id="11" name="10_5年～6年未満" dataDxfId="509"/>
    <tableColumn id="12" name="11_6年～7年未満" dataDxfId="508"/>
    <tableColumn id="13" name="12_7年～8年未満" dataDxfId="507"/>
    <tableColumn id="14" name="13_8年～9年未満" dataDxfId="506"/>
    <tableColumn id="15" name="14_9年～10年未満" dataDxfId="505"/>
    <tableColumn id="16" name="15_10年～20年未満" dataDxfId="504"/>
    <tableColumn id="17" name="16_ 20年以上" dataDxfId="503"/>
  </tableColumns>
  <tableStyleInfo name="TableStyleMedium2" showFirstColumn="0" showLastColumn="0" showRowStripes="1" showColumnStripes="0"/>
</table>
</file>

<file path=xl/tables/table56.xml><?xml version="1.0" encoding="utf-8"?>
<table xmlns="http://schemas.openxmlformats.org/spreadsheetml/2006/main" id="56" name="年齢階層×在院期間区分F02F09" displayName="年齢階層×在院期間区分F02F09" ref="O4:AE13" totalsRowShown="0" headerRowDxfId="502" dataDxfId="501">
  <autoFilter ref="O4:AE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行ラベル" dataDxfId="500"/>
    <tableColumn id="2" name="01_1ヶ月未満" dataDxfId="499"/>
    <tableColumn id="3" name="02_1ヶ月～3ヶ月未満" dataDxfId="498"/>
    <tableColumn id="4" name="03_3ヶ月～6ヶ月未満" dataDxfId="497"/>
    <tableColumn id="5" name="04_6ヶ月～1年未満" dataDxfId="496"/>
    <tableColumn id="6" name="05_1年～1年6ヶ月未満" dataDxfId="495"/>
    <tableColumn id="7" name="06_1年6ヶ月～2年未満" dataDxfId="494"/>
    <tableColumn id="8" name="07_2年～3年未満" dataDxfId="493"/>
    <tableColumn id="9" name="08_3年～4年未満" dataDxfId="492"/>
    <tableColumn id="10" name="09_4年～5年未満" dataDxfId="491"/>
    <tableColumn id="11" name="10_5年～6年未満" dataDxfId="490"/>
    <tableColumn id="12" name="11_6年～7年未満" dataDxfId="489"/>
    <tableColumn id="13" name="12_7年～8年未満" dataDxfId="488"/>
    <tableColumn id="14" name="13_8年～9年未満" dataDxfId="487"/>
    <tableColumn id="15" name="14_9年～10年未満" dataDxfId="486"/>
    <tableColumn id="16" name="15_10年～20年未満" dataDxfId="485"/>
    <tableColumn id="17" name="16_ 20年以上" dataDxfId="484"/>
  </tableColumns>
  <tableStyleInfo name="TableStyleMedium2" showFirstColumn="0" showLastColumn="0" showRowStripes="1" showColumnStripes="0"/>
</table>
</file>

<file path=xl/tables/table57.xml><?xml version="1.0" encoding="utf-8"?>
<table xmlns="http://schemas.openxmlformats.org/spreadsheetml/2006/main" id="57" name="年齢階層×在院期間区分F02F09_65歳未満以上" displayName="年齢階層×在院期間区分F02F09_65歳未満以上" ref="O14:AE16" totalsRowShown="0" headerRowDxfId="483" dataDxfId="482">
  <autoFilter ref="O14:AE1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列1" dataDxfId="481"/>
    <tableColumn id="2" name="01_1ヶ月未満" dataDxfId="480"/>
    <tableColumn id="3" name="02_1ヶ月～3ヶ月未満" dataDxfId="479"/>
    <tableColumn id="4" name="03_3ヶ月～6ヶ月未満" dataDxfId="478"/>
    <tableColumn id="5" name="04_6ヶ月～1年未満" dataDxfId="477"/>
    <tableColumn id="6" name="05_1年～1年6ヶ月未満" dataDxfId="476"/>
    <tableColumn id="7" name="06_1年6ヶ月～2年未満" dataDxfId="475"/>
    <tableColumn id="8" name="07_2年～3年未満" dataDxfId="474"/>
    <tableColumn id="9" name="08_3年～4年未満" dataDxfId="473"/>
    <tableColumn id="10" name="09_4年～5年未満" dataDxfId="472"/>
    <tableColumn id="11" name="10_5年～6年未満" dataDxfId="471"/>
    <tableColumn id="12" name="11_6年～7年未満" dataDxfId="470"/>
    <tableColumn id="13" name="12_7年～8年未満" dataDxfId="469"/>
    <tableColumn id="14" name="13_8年～9年未満" dataDxfId="468"/>
    <tableColumn id="15" name="14_9年～10年未満" dataDxfId="467"/>
    <tableColumn id="16" name="15_10年～20年未満" dataDxfId="466"/>
    <tableColumn id="17" name="16_ 20年以上" dataDxfId="465"/>
  </tableColumns>
  <tableStyleInfo name="TableStyleMedium2" showFirstColumn="0" showLastColumn="0" showRowStripes="1" showColumnStripes="0"/>
</table>
</file>

<file path=xl/tables/table58.xml><?xml version="1.0" encoding="utf-8"?>
<table xmlns="http://schemas.openxmlformats.org/spreadsheetml/2006/main" id="58" name="年齢階層×在院期間区分F02F09＿寛解・院内寛解" displayName="年齢階層×在院期間区分F02F09＿寛解・院内寛解" ref="O21:AE30" totalsRowShown="0" headerRowDxfId="464" dataDxfId="463">
  <autoFilter ref="O21:AE3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行ラベル" dataDxfId="462"/>
    <tableColumn id="2" name="01_1ヶ月未満" dataDxfId="461"/>
    <tableColumn id="3" name="02_1ヶ月～3ヶ月未満" dataDxfId="460"/>
    <tableColumn id="4" name="03_3ヶ月～6ヶ月未満" dataDxfId="459"/>
    <tableColumn id="5" name="04_6ヶ月～1年未満" dataDxfId="458"/>
    <tableColumn id="6" name="05_1年～1年6ヶ月未満" dataDxfId="457"/>
    <tableColumn id="7" name="06_1年6ヶ月～2年未満" dataDxfId="456"/>
    <tableColumn id="8" name="07_2年～3年未満" dataDxfId="455"/>
    <tableColumn id="9" name="08_3年～4年未満" dataDxfId="454"/>
    <tableColumn id="10" name="09_4年～5年未満" dataDxfId="453"/>
    <tableColumn id="11" name="10_5年～6年未満" dataDxfId="452"/>
    <tableColumn id="12" name="11_6年～7年未満" dataDxfId="451"/>
    <tableColumn id="13" name="12_7年～8年未満" dataDxfId="450"/>
    <tableColumn id="14" name="13_8年～9年未満" dataDxfId="449"/>
    <tableColumn id="15" name="14_9年～10年未満" dataDxfId="448"/>
    <tableColumn id="16" name="15_10年～20年未満" dataDxfId="447"/>
    <tableColumn id="17" name="16_ 20年以上" dataDxfId="446"/>
  </tableColumns>
  <tableStyleInfo name="TableStyleMedium2" showFirstColumn="0" showLastColumn="0" showRowStripes="1" showColumnStripes="0"/>
</table>
</file>

<file path=xl/tables/table59.xml><?xml version="1.0" encoding="utf-8"?>
<table xmlns="http://schemas.openxmlformats.org/spreadsheetml/2006/main" id="59" name="年齢階層×在院期間区分F02F09_65歳未満以上＿寛解・院内寛解" displayName="年齢階層×在院期間区分F02F09_65歳未満以上＿寛解・院内寛解" ref="O31:AE33" totalsRowShown="0" headerRowDxfId="445">
  <autoFilter ref="O31:AE3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列1" dataDxfId="444"/>
    <tableColumn id="2" name="01_1ヶ月未満" dataDxfId="443"/>
    <tableColumn id="3" name="02_1ヶ月～3ヶ月未満" dataDxfId="442"/>
    <tableColumn id="4" name="03_3ヶ月～6ヶ月未満" dataDxfId="441"/>
    <tableColumn id="5" name="04_6ヶ月～1年未満" dataDxfId="440"/>
    <tableColumn id="6" name="05_1年～1年6ヶ月未満" dataDxfId="439"/>
    <tableColumn id="7" name="06_1年6ヶ月～2年未満" dataDxfId="438"/>
    <tableColumn id="8" name="07_2年～3年未満" dataDxfId="437"/>
    <tableColumn id="9" name="08_3年～4年未満" dataDxfId="436"/>
    <tableColumn id="10" name="09_4年～5年未満" dataDxfId="435"/>
    <tableColumn id="11" name="10_5年～6年未満" dataDxfId="434"/>
    <tableColumn id="12" name="11_6年～7年未満" dataDxfId="433"/>
    <tableColumn id="13" name="12_7年～8年未満" dataDxfId="432"/>
    <tableColumn id="14" name="13_8年～9年未満" dataDxfId="431"/>
    <tableColumn id="15" name="14_9年～10年未満" dataDxfId="430"/>
    <tableColumn id="16" name="15_10年～20年未満" dataDxfId="429"/>
    <tableColumn id="17" name="16_ 20年以上" dataDxfId="428"/>
  </tableColumns>
  <tableStyleInfo name="TableStyleMedium2" showFirstColumn="0" showLastColumn="0" showRowStripes="1" showColumnStripes="0"/>
</table>
</file>

<file path=xl/tables/table6.xml><?xml version="1.0" encoding="utf-8"?>
<table xmlns="http://schemas.openxmlformats.org/spreadsheetml/2006/main" id="7" name="入院形態_院内寛解" displayName="入院形態_院内寛解" ref="J14:K22" totalsRowShown="0" headerRowDxfId="991">
  <autoFilter ref="J14:K22">
    <filterColumn colId="0" hiddenButton="1"/>
    <filterColumn colId="1" hiddenButton="1"/>
  </autoFilter>
  <tableColumns count="2">
    <tableColumn id="1" name="行ラベル" dataDxfId="990"/>
    <tableColumn id="2" name="データの個数 / 入院" dataDxfId="989"/>
  </tableColumns>
  <tableStyleInfo name="TableStyleMedium2" showFirstColumn="0" showLastColumn="0" showRowStripes="1" showColumnStripes="0"/>
</table>
</file>

<file path=xl/tables/table60.xml><?xml version="1.0" encoding="utf-8"?>
<table xmlns="http://schemas.openxmlformats.org/spreadsheetml/2006/main" id="60" name="年齢階層×在院期間区分F3" displayName="年齢階層×在院期間区分F3" ref="O3:AE12" totalsRowShown="0" headerRowDxfId="427" dataDxfId="426">
  <autoFilter ref="O3:AE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行ラベル" dataDxfId="425"/>
    <tableColumn id="2" name="01_1ヶ月未満" dataDxfId="424"/>
    <tableColumn id="3" name="02_1ヶ月～3ヶ月未満" dataDxfId="423"/>
    <tableColumn id="4" name="03_3ヶ月～6ヶ月未満" dataDxfId="422"/>
    <tableColumn id="5" name="04_6ヶ月～1年未満" dataDxfId="421"/>
    <tableColumn id="6" name="05_1年～1年6ヶ月未満" dataDxfId="420"/>
    <tableColumn id="7" name="06_1年6ヶ月～2年未満" dataDxfId="419"/>
    <tableColumn id="8" name="07_2年～3年未満" dataDxfId="418"/>
    <tableColumn id="9" name="08_3年～4年未満" dataDxfId="417"/>
    <tableColumn id="10" name="09_4年～5年未満" dataDxfId="416"/>
    <tableColumn id="11" name="10_5年～6年未満" dataDxfId="415"/>
    <tableColumn id="12" name="11_6年～7年未満" dataDxfId="414"/>
    <tableColumn id="13" name="12_7年～8年未満" dataDxfId="413"/>
    <tableColumn id="14" name="13_8年～9年未満" dataDxfId="412"/>
    <tableColumn id="15" name="14_9年～10年未満" dataDxfId="411"/>
    <tableColumn id="16" name="15_10年～20年未満" dataDxfId="410"/>
    <tableColumn id="17" name="16_ 20年以上" dataDxfId="409"/>
  </tableColumns>
  <tableStyleInfo name="TableStyleMedium2" showFirstColumn="0" showLastColumn="0" showRowStripes="1" showColumnStripes="0"/>
</table>
</file>

<file path=xl/tables/table61.xml><?xml version="1.0" encoding="utf-8"?>
<table xmlns="http://schemas.openxmlformats.org/spreadsheetml/2006/main" id="61" name="年齢階層×在院期間区分F3_65歳未満以上" displayName="年齢階層×在院期間区分F3_65歳未満以上" ref="O13:AE15" totalsRowShown="0" headerRowDxfId="408" dataDxfId="407">
  <autoFilter ref="O13:AE1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列1" dataDxfId="406"/>
    <tableColumn id="2" name="01_1ヶ月未満" dataDxfId="405"/>
    <tableColumn id="3" name="02_1ヶ月～3ヶ月未満" dataDxfId="404"/>
    <tableColumn id="4" name="03_3ヶ月～6ヶ月未満" dataDxfId="403"/>
    <tableColumn id="5" name="04_6ヶ月～1年未満" dataDxfId="402"/>
    <tableColumn id="6" name="05_1年～1年6ヶ月未満" dataDxfId="401"/>
    <tableColumn id="7" name="06_1年6ヶ月～2年未満" dataDxfId="400"/>
    <tableColumn id="8" name="07_2年～3年未満" dataDxfId="399"/>
    <tableColumn id="9" name="08_3年～4年未満" dataDxfId="398"/>
    <tableColumn id="10" name="09_4年～5年未満" dataDxfId="397"/>
    <tableColumn id="11" name="10_5年～6年未満" dataDxfId="396"/>
    <tableColumn id="12" name="11_6年～7年未満" dataDxfId="395"/>
    <tableColumn id="13" name="12_7年～8年未満" dataDxfId="394"/>
    <tableColumn id="14" name="13_8年～9年未満" dataDxfId="393"/>
    <tableColumn id="15" name="14_9年～10年未満" dataDxfId="392"/>
    <tableColumn id="16" name="15_10年～20年未満" dataDxfId="391"/>
    <tableColumn id="17" name="16_ 20年以上" dataDxfId="390"/>
  </tableColumns>
  <tableStyleInfo name="TableStyleMedium2" showFirstColumn="0" showLastColumn="0" showRowStripes="1" showColumnStripes="0"/>
</table>
</file>

<file path=xl/tables/table62.xml><?xml version="1.0" encoding="utf-8"?>
<table xmlns="http://schemas.openxmlformats.org/spreadsheetml/2006/main" id="62" name="年齢階層×在院期間区分F3＿寛解・院内寛解" displayName="年齢階層×在院期間区分F3＿寛解・院内寛解" ref="O19:AE28" totalsRowShown="0" headerRowDxfId="389" dataDxfId="388">
  <autoFilter ref="O19:AE2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行ラベル" dataDxfId="387"/>
    <tableColumn id="2" name="01_1ヶ月未満" dataDxfId="386"/>
    <tableColumn id="3" name="02_1ヶ月～3ヶ月未満" dataDxfId="385"/>
    <tableColumn id="4" name="03_3ヶ月～6ヶ月未満" dataDxfId="384"/>
    <tableColumn id="5" name="04_6ヶ月～1年未満" dataDxfId="383"/>
    <tableColumn id="6" name="05_1年～1年6ヶ月未満" dataDxfId="382"/>
    <tableColumn id="7" name="06_1年6ヶ月～2年未満" dataDxfId="381"/>
    <tableColumn id="8" name="07_2年～3年未満" dataDxfId="380"/>
    <tableColumn id="9" name="08_3年～4年未満" dataDxfId="379"/>
    <tableColumn id="10" name="09_4年～5年未満" dataDxfId="378"/>
    <tableColumn id="11" name="10_5年～6年未満" dataDxfId="377"/>
    <tableColumn id="12" name="11_6年～7年未満" dataDxfId="376"/>
    <tableColumn id="13" name="12_7年～8年未満" dataDxfId="375"/>
    <tableColumn id="14" name="13_8年～9年未満" dataDxfId="374"/>
    <tableColumn id="15" name="14_9年～10年未満" dataDxfId="373"/>
    <tableColumn id="16" name="15_10年～20年未満" dataDxfId="372"/>
    <tableColumn id="17" name="16_ 20年以上" dataDxfId="371"/>
  </tableColumns>
  <tableStyleInfo name="TableStyleMedium2" showFirstColumn="0" showLastColumn="0" showRowStripes="1" showColumnStripes="0"/>
</table>
</file>

<file path=xl/tables/table63.xml><?xml version="1.0" encoding="utf-8"?>
<table xmlns="http://schemas.openxmlformats.org/spreadsheetml/2006/main" id="63" name="年齢階層×在院期間区分F3_65歳未満以上＿寛解・院内寛解" displayName="年齢階層×在院期間区分F3_65歳未満以上＿寛解・院内寛解" ref="O29:AE31" totalsRowShown="0" headerRowDxfId="370" dataDxfId="369">
  <autoFilter ref="O29:AE3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列1" dataDxfId="368"/>
    <tableColumn id="2" name="01_1ヶ月未満" dataDxfId="367"/>
    <tableColumn id="3" name="02_1ヶ月～3ヶ月未満" dataDxfId="366"/>
    <tableColumn id="4" name="03_3ヶ月～6ヶ月未満" dataDxfId="365"/>
    <tableColumn id="5" name="04_6ヶ月～1年未満" dataDxfId="364"/>
    <tableColumn id="6" name="05_1年～1年6ヶ月未満" dataDxfId="363"/>
    <tableColumn id="7" name="06_1年6ヶ月～2年未満" dataDxfId="362"/>
    <tableColumn id="8" name="07_2年～3年未満" dataDxfId="361"/>
    <tableColumn id="9" name="08_3年～4年未満" dataDxfId="360"/>
    <tableColumn id="10" name="09_4年～5年未満" dataDxfId="359"/>
    <tableColumn id="11" name="10_5年～6年未満" dataDxfId="358"/>
    <tableColumn id="12" name="11_6年～7年未満" dataDxfId="357"/>
    <tableColumn id="13" name="12_7年～8年未満" dataDxfId="356"/>
    <tableColumn id="14" name="13_8年～9年未満" dataDxfId="355"/>
    <tableColumn id="15" name="14_9年～10年未満" dataDxfId="354"/>
    <tableColumn id="16" name="15_10年～20年未満" dataDxfId="353"/>
    <tableColumn id="17" name="16_ 20年以上" dataDxfId="352"/>
  </tableColumns>
  <tableStyleInfo name="TableStyleMedium2" showFirstColumn="0" showLastColumn="0" showRowStripes="1" showColumnStripes="0"/>
</table>
</file>

<file path=xl/tables/table64.xml><?xml version="1.0" encoding="utf-8"?>
<table xmlns="http://schemas.openxmlformats.org/spreadsheetml/2006/main" id="64" name="年齢区分病院圏域" displayName="年齢区分病院圏域" ref="M3:AE13" totalsRowShown="0" headerRowDxfId="351" dataDxfId="350" tableBorderDxfId="349">
  <autoFilter ref="M3:AE13"/>
  <tableColumns count="19">
    <tableColumn id="1" name="01豊能北" dataDxfId="348"/>
    <tableColumn id="2" name="02豊能豊中" dataDxfId="347"/>
    <tableColumn id="3" name="03豊能吹田" dataDxfId="346"/>
    <tableColumn id="4" name="04三島" dataDxfId="345"/>
    <tableColumn id="5" name="05三島高槻" dataDxfId="344"/>
    <tableColumn id="6" name="06北河内枚方" dataDxfId="343"/>
    <tableColumn id="7" name="07北河内寝屋川" dataDxfId="342"/>
    <tableColumn id="8" name="08北河内西" dataDxfId="341"/>
    <tableColumn id="9" name="09北河内東" dataDxfId="340"/>
    <tableColumn id="10" name="10中河内東大阪" dataDxfId="339"/>
    <tableColumn id="11" name="11中河内八尾" dataDxfId="338"/>
    <tableColumn id="12" name="12中河内南" dataDxfId="337"/>
    <tableColumn id="13" name="13南河内北" dataDxfId="336"/>
    <tableColumn id="14" name="14南河内南" dataDxfId="335"/>
    <tableColumn id="15" name="15泉州北" dataDxfId="334"/>
    <tableColumn id="16" name="16泉州中" dataDxfId="333"/>
    <tableColumn id="17" name="17泉州南" dataDxfId="332"/>
    <tableColumn id="18" name="18大阪市" dataDxfId="331"/>
    <tableColumn id="19" name="19堺市" dataDxfId="330"/>
  </tableColumns>
  <tableStyleInfo name="TableStyleMedium2" showFirstColumn="0" showLastColumn="0" showRowStripes="1" showColumnStripes="0"/>
</table>
</file>

<file path=xl/tables/table65.xml><?xml version="1.0" encoding="utf-8"?>
<table xmlns="http://schemas.openxmlformats.org/spreadsheetml/2006/main" id="66" name="年齢区分病院圏域_65歳未満以上" displayName="年齢区分病院圏域_65歳未満以上" ref="M14:AF16" totalsRowShown="0" headerRowDxfId="329" tableBorderDxfId="328">
  <autoFilter ref="M14:AF16"/>
  <tableColumns count="20">
    <tableColumn id="1" name="列1"/>
    <tableColumn id="2" name="列2"/>
    <tableColumn id="3" name="列3"/>
    <tableColumn id="4" name="列4"/>
    <tableColumn id="5" name="列5"/>
    <tableColumn id="6" name="列6"/>
    <tableColumn id="7" name="列7"/>
    <tableColumn id="8" name="列8"/>
    <tableColumn id="9" name="列9"/>
    <tableColumn id="10" name="列10"/>
    <tableColumn id="11" name="列11"/>
    <tableColumn id="12" name="列12"/>
    <tableColumn id="13" name="列13"/>
    <tableColumn id="14" name="列14"/>
    <tableColumn id="15" name="列15"/>
    <tableColumn id="16" name="列16"/>
    <tableColumn id="17" name="列17"/>
    <tableColumn id="18" name="列18"/>
    <tableColumn id="19" name="列19"/>
    <tableColumn id="20" name="列20" dataDxfId="327"/>
  </tableColumns>
  <tableStyleInfo name="TableStyleMedium2" showFirstColumn="0" showLastColumn="0" showRowStripes="1" showColumnStripes="0"/>
</table>
</file>

<file path=xl/tables/table66.xml><?xml version="1.0" encoding="utf-8"?>
<table xmlns="http://schemas.openxmlformats.org/spreadsheetml/2006/main" id="65" name="入院形態病院圏域" displayName="入院形態病院圏域" ref="M3:AF15" totalsRowShown="0" headerRowDxfId="326" dataDxfId="325">
  <autoFilter ref="M3:AF1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name="行ラベル" dataDxfId="324"/>
    <tableColumn id="2" name="01豊能北" dataDxfId="323"/>
    <tableColumn id="3" name="02豊能豊中" dataDxfId="322"/>
    <tableColumn id="4" name="03豊能吹田" dataDxfId="321"/>
    <tableColumn id="5" name="04三島" dataDxfId="320"/>
    <tableColumn id="6" name="05三島高槻" dataDxfId="319"/>
    <tableColumn id="7" name="06北河内枚方" dataDxfId="318"/>
    <tableColumn id="8" name="07北河内寝屋川" dataDxfId="317"/>
    <tableColumn id="9" name="08北河内西" dataDxfId="316"/>
    <tableColumn id="10" name="09北河内東" dataDxfId="315"/>
    <tableColumn id="11" name="10中河内東大阪" dataDxfId="314"/>
    <tableColumn id="12" name="11中河内八尾" dataDxfId="313"/>
    <tableColumn id="13" name="12中河内南" dataDxfId="312"/>
    <tableColumn id="14" name="13南河内北" dataDxfId="311"/>
    <tableColumn id="15" name="14南河内南" dataDxfId="310"/>
    <tableColumn id="16" name="15泉州北" dataDxfId="309"/>
    <tableColumn id="17" name="16泉州中" dataDxfId="308"/>
    <tableColumn id="18" name="17泉州南" dataDxfId="307"/>
    <tableColumn id="19" name="18大阪市" dataDxfId="306"/>
    <tableColumn id="20" name="19堺市" dataDxfId="305"/>
  </tableColumns>
  <tableStyleInfo name="TableStyleMedium2" showFirstColumn="0" showLastColumn="0" showRowStripes="1" showColumnStripes="0"/>
</table>
</file>

<file path=xl/tables/table67.xml><?xml version="1.0" encoding="utf-8"?>
<table xmlns="http://schemas.openxmlformats.org/spreadsheetml/2006/main" id="68" name="疾患名区分病院所在地" displayName="疾患名区分病院所在地" ref="M3:AG22" totalsRowShown="0" headerRowDxfId="304" dataDxfId="303">
  <autoFilter ref="M3:AG2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name="行ラベル" dataDxfId="302"/>
    <tableColumn id="2" name="01豊能北" dataDxfId="301"/>
    <tableColumn id="3" name="02豊能豊中" dataDxfId="300"/>
    <tableColumn id="4" name="03豊能吹田" dataDxfId="299"/>
    <tableColumn id="5" name="04三島" dataDxfId="298"/>
    <tableColumn id="6" name="05三島高槻" dataDxfId="297"/>
    <tableColumn id="7" name="06北河内枚方" dataDxfId="296"/>
    <tableColumn id="8" name="07北河内寝屋川" dataDxfId="295"/>
    <tableColumn id="9" name="08北河内西" dataDxfId="294"/>
    <tableColumn id="10" name="09北河内東" dataDxfId="293"/>
    <tableColumn id="11" name="10中河内東大阪" dataDxfId="292"/>
    <tableColumn id="12" name="11中河内八尾" dataDxfId="291"/>
    <tableColumn id="13" name="12中河内南" dataDxfId="290"/>
    <tableColumn id="14" name="13南河内北" dataDxfId="289"/>
    <tableColumn id="15" name="14南河内南" dataDxfId="288"/>
    <tableColumn id="16" name="15泉州北" dataDxfId="287"/>
    <tableColumn id="17" name="16泉州中" dataDxfId="286"/>
    <tableColumn id="18" name="17泉州南" dataDxfId="285"/>
    <tableColumn id="19" name="18大阪市" dataDxfId="284"/>
    <tableColumn id="20" name="19堺市" dataDxfId="283"/>
    <tableColumn id="21" name="列21" dataDxfId="282"/>
  </tableColumns>
  <tableStyleInfo name="TableStyleMedium2" showFirstColumn="0" showLastColumn="0" showRowStripes="1" showColumnStripes="0"/>
</table>
</file>

<file path=xl/tables/table68.xml><?xml version="1.0" encoding="utf-8"?>
<table xmlns="http://schemas.openxmlformats.org/spreadsheetml/2006/main" id="67" name="在院期間区分病院所在地" displayName="在院期間区分病院所在地" ref="M3:AG20" totalsRowShown="0" headerRowDxfId="281" dataDxfId="280">
  <autoFilter ref="M3:AG2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1">
    <tableColumn id="1" name="行ラベル" dataDxfId="279"/>
    <tableColumn id="2" name="01豊能北" dataDxfId="278"/>
    <tableColumn id="3" name="02豊能豊中" dataDxfId="277"/>
    <tableColumn id="4" name="03豊能吹田" dataDxfId="276"/>
    <tableColumn id="5" name="04三島" dataDxfId="275"/>
    <tableColumn id="6" name="05三島高槻" dataDxfId="274"/>
    <tableColumn id="7" name="06北河内枚方" dataDxfId="273"/>
    <tableColumn id="8" name="07北河内寝屋川" dataDxfId="272"/>
    <tableColumn id="9" name="08北河内西" dataDxfId="271"/>
    <tableColumn id="10" name="09北河内東" dataDxfId="270"/>
    <tableColumn id="11" name="10中河内東大阪" dataDxfId="269"/>
    <tableColumn id="12" name="11中河内八尾" dataDxfId="268"/>
    <tableColumn id="13" name="12中河内南" dataDxfId="267"/>
    <tableColumn id="14" name="13南河内北" dataDxfId="266"/>
    <tableColumn id="15" name="14南河内南" dataDxfId="265"/>
    <tableColumn id="16" name="15泉州北" dataDxfId="264"/>
    <tableColumn id="17" name="16泉州中" dataDxfId="263"/>
    <tableColumn id="18" name="17泉州南" dataDxfId="262"/>
    <tableColumn id="19" name="18大阪市" dataDxfId="261"/>
    <tableColumn id="20" name="19堺市" dataDxfId="260"/>
    <tableColumn id="21" name="列21" dataDxfId="259"/>
  </tableColumns>
  <tableStyleInfo name="TableStyleMedium2" showFirstColumn="0" showLastColumn="0" showRowStripes="1" showColumnStripes="0"/>
</table>
</file>

<file path=xl/tables/table69.xml><?xml version="1.0" encoding="utf-8"?>
<table xmlns="http://schemas.openxmlformats.org/spreadsheetml/2006/main" id="85" name="状態像区分病院所在地_寛解・院内寛解" displayName="状態像区分病院所在地_寛解・院内寛解" ref="M24:AG31" totalsRowShown="0" headerRowDxfId="258" dataDxfId="257" tableBorderDxfId="256">
  <autoFilter ref="M24:AG31"/>
  <tableColumns count="21">
    <tableColumn id="1" name="行ラベル" dataDxfId="255"/>
    <tableColumn id="2" name="01豊能北" dataDxfId="254"/>
    <tableColumn id="3" name="02豊能豊中" dataDxfId="253"/>
    <tableColumn id="4" name="03豊能吹田" dataDxfId="252"/>
    <tableColumn id="5" name="04三島" dataDxfId="251"/>
    <tableColumn id="6" name="05三島高槻" dataDxfId="250"/>
    <tableColumn id="7" name="06北河内枚方" dataDxfId="249"/>
    <tableColumn id="8" name="07北河内寝屋川" dataDxfId="248"/>
    <tableColumn id="9" name="08北河内西" dataDxfId="247"/>
    <tableColumn id="10" name="09北河内東" dataDxfId="246"/>
    <tableColumn id="11" name="10中河内東大阪" dataDxfId="245"/>
    <tableColumn id="12" name="11中河内八尾" dataDxfId="244"/>
    <tableColumn id="13" name="12中河内南" dataDxfId="243"/>
    <tableColumn id="14" name="13南河内北" dataDxfId="242"/>
    <tableColumn id="15" name="14南河内南" dataDxfId="241"/>
    <tableColumn id="16" name="15泉州北" dataDxfId="240"/>
    <tableColumn id="17" name="16泉州中" dataDxfId="239"/>
    <tableColumn id="18" name="17泉州南" dataDxfId="238"/>
    <tableColumn id="19" name="18大阪市" dataDxfId="237"/>
    <tableColumn id="20" name="19堺市" dataDxfId="236"/>
    <tableColumn id="21" name="列21" dataDxfId="235"/>
  </tableColumns>
  <tableStyleInfo name="TableStyleMedium2" showFirstColumn="0" showLastColumn="0" showRowStripes="1" showColumnStripes="0"/>
</table>
</file>

<file path=xl/tables/table7.xml><?xml version="1.0" encoding="utf-8"?>
<table xmlns="http://schemas.openxmlformats.org/spreadsheetml/2006/main" id="8" name="疾患別" displayName="疾患別" ref="B24:C42" totalsRowShown="0" headerRowDxfId="988">
  <autoFilter ref="B24:C42">
    <filterColumn colId="0" hiddenButton="1"/>
    <filterColumn colId="1" hiddenButton="1"/>
  </autoFilter>
  <tableColumns count="2">
    <tableColumn id="1" name="行ラベル" dataDxfId="987"/>
    <tableColumn id="2" name="データの個数 / 疾患名" dataDxfId="986"/>
  </tableColumns>
  <tableStyleInfo name="TableStyleMedium2" showFirstColumn="0" showLastColumn="0" showRowStripes="1" showColumnStripes="0"/>
</table>
</file>

<file path=xl/tables/table70.xml><?xml version="1.0" encoding="utf-8"?>
<table xmlns="http://schemas.openxmlformats.org/spreadsheetml/2006/main" id="86" name="状態像区分病院所在地" displayName="状態像区分病院所在地" ref="M3:AG10" totalsRowShown="0" headerRowDxfId="234" dataDxfId="233">
  <autoFilter ref="M3:AG10"/>
  <tableColumns count="21">
    <tableColumn id="1" name="行ラベル" dataDxfId="232"/>
    <tableColumn id="2" name="01豊能北" dataDxfId="231"/>
    <tableColumn id="3" name="02豊能豊中" dataDxfId="230"/>
    <tableColumn id="4" name="03豊能吹田" dataDxfId="229"/>
    <tableColumn id="5" name="04三島" dataDxfId="228"/>
    <tableColumn id="6" name="05三島高槻" dataDxfId="227"/>
    <tableColumn id="7" name="06北河内枚方" dataDxfId="226"/>
    <tableColumn id="8" name="07北河内寝屋川" dataDxfId="225"/>
    <tableColumn id="9" name="08北河内西" dataDxfId="224"/>
    <tableColumn id="10" name="09北河内東" dataDxfId="223"/>
    <tableColumn id="11" name="10中河内東大阪" dataDxfId="222"/>
    <tableColumn id="12" name="11中河内八尾" dataDxfId="221"/>
    <tableColumn id="13" name="12中河内南" dataDxfId="220"/>
    <tableColumn id="14" name="13南河内北" dataDxfId="219"/>
    <tableColumn id="15" name="14南河内南" dataDxfId="218"/>
    <tableColumn id="16" name="15泉州北" dataDxfId="217"/>
    <tableColumn id="17" name="16泉州中" dataDxfId="216"/>
    <tableColumn id="18" name="17泉州南" dataDxfId="215"/>
    <tableColumn id="19" name="18大阪市" dataDxfId="214"/>
    <tableColumn id="20" name="19堺市" dataDxfId="213"/>
    <tableColumn id="21" name="列21" dataDxfId="212"/>
  </tableColumns>
  <tableStyleInfo name="TableStyleMedium2" showFirstColumn="0" showLastColumn="0" showRowStripes="1" showColumnStripes="0"/>
</table>
</file>

<file path=xl/tables/table71.xml><?xml version="1.0" encoding="utf-8"?>
<table xmlns="http://schemas.openxmlformats.org/spreadsheetml/2006/main" id="70" name="退院予定有無病院所在地" displayName="退院予定有無病院所在地" ref="M3:AF7" totalsRowShown="0" headerRowDxfId="211" dataDxfId="210">
  <autoFilter ref="M3:AF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name="行ラベル" dataDxfId="209"/>
    <tableColumn id="2" name="01豊能北" dataDxfId="208"/>
    <tableColumn id="3" name="02豊能豊中" dataDxfId="207"/>
    <tableColumn id="4" name="03豊能吹田" dataDxfId="206"/>
    <tableColumn id="5" name="04三島" dataDxfId="205"/>
    <tableColumn id="6" name="05三島高槻" dataDxfId="204"/>
    <tableColumn id="7" name="06北河内枚方" dataDxfId="203"/>
    <tableColumn id="8" name="07北河内寝屋川" dataDxfId="202"/>
    <tableColumn id="9" name="08北河内西" dataDxfId="201"/>
    <tableColumn id="10" name="09北河内東" dataDxfId="200"/>
    <tableColumn id="11" name="10中河内東大阪" dataDxfId="199"/>
    <tableColumn id="12" name="11中河内八尾" dataDxfId="198"/>
    <tableColumn id="13" name="12中河内南" dataDxfId="197"/>
    <tableColumn id="14" name="13南河内北" dataDxfId="196"/>
    <tableColumn id="15" name="14南河内南" dataDxfId="195"/>
    <tableColumn id="16" name="15泉州北" dataDxfId="194"/>
    <tableColumn id="17" name="16泉州中" dataDxfId="193"/>
    <tableColumn id="18" name="17泉州南" dataDxfId="192"/>
    <tableColumn id="19" name="18大阪市" dataDxfId="191"/>
    <tableColumn id="20" name="19堺市" dataDxfId="190"/>
  </tableColumns>
  <tableStyleInfo name="TableStyleMedium2" showFirstColumn="0" showLastColumn="0" showRowStripes="1" showColumnStripes="0"/>
</table>
</file>

<file path=xl/tables/table72.xml><?xml version="1.0" encoding="utf-8"?>
<table xmlns="http://schemas.openxmlformats.org/spreadsheetml/2006/main" id="71" name="退院阻害要因有無病院所在地" displayName="退院阻害要因有無病院所在地" ref="M13:AF16" totalsRowShown="0" headerRowDxfId="189" dataDxfId="188">
  <autoFilter ref="M13:AF1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name="行ラベル" dataDxfId="187"/>
    <tableColumn id="2" name="01豊能北" dataDxfId="186"/>
    <tableColumn id="3" name="02豊能豊中" dataDxfId="185"/>
    <tableColumn id="4" name="03豊能吹田" dataDxfId="184"/>
    <tableColumn id="5" name="04三島" dataDxfId="183"/>
    <tableColumn id="6" name="05三島高槻" dataDxfId="182"/>
    <tableColumn id="7" name="06北河内枚方" dataDxfId="181"/>
    <tableColumn id="8" name="07北河内寝屋川" dataDxfId="180"/>
    <tableColumn id="9" name="08北河内西" dataDxfId="179"/>
    <tableColumn id="10" name="09北河内東" dataDxfId="178"/>
    <tableColumn id="11" name="10中河内東大阪" dataDxfId="177"/>
    <tableColumn id="12" name="11中河内八尾" dataDxfId="176"/>
    <tableColumn id="13" name="12中河内南" dataDxfId="175"/>
    <tableColumn id="14" name="13南河内北" dataDxfId="174"/>
    <tableColumn id="15" name="14南河内南" dataDxfId="173"/>
    <tableColumn id="16" name="15泉州北" dataDxfId="172"/>
    <tableColumn id="17" name="16泉州中" dataDxfId="171"/>
    <tableColumn id="18" name="17泉州南" dataDxfId="170"/>
    <tableColumn id="19" name="18大阪市" dataDxfId="169"/>
    <tableColumn id="20" name="19堺市" dataDxfId="168"/>
  </tableColumns>
  <tableStyleInfo name="TableStyleMedium4" showFirstColumn="0" showLastColumn="0" showRowStripes="1" showColumnStripes="0"/>
</table>
</file>

<file path=xl/tables/table73.xml><?xml version="1.0" encoding="utf-8"?>
<table xmlns="http://schemas.openxmlformats.org/spreadsheetml/2006/main" id="72" name="退院阻害要因病院所在地" displayName="退院阻害要因病院所在地" ref="M23:AG43" totalsRowShown="0" headerRowDxfId="167" dataDxfId="166">
  <autoFilter ref="M23:AG4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1">
    <tableColumn id="1" name="値" dataDxfId="165"/>
    <tableColumn id="2" name="01豊能北" dataDxfId="164"/>
    <tableColumn id="3" name="02豊能豊中" dataDxfId="163"/>
    <tableColumn id="4" name="03豊能吹田" dataDxfId="162"/>
    <tableColumn id="5" name="04三島" dataDxfId="161"/>
    <tableColumn id="6" name="05三島高槻" dataDxfId="160"/>
    <tableColumn id="7" name="06北河内枚方" dataDxfId="159"/>
    <tableColumn id="8" name="07北河内寝屋川" dataDxfId="158"/>
    <tableColumn id="9" name="08北河内西" dataDxfId="157"/>
    <tableColumn id="10" name="09北河内東" dataDxfId="156"/>
    <tableColumn id="11" name="10中河内東大阪" dataDxfId="155"/>
    <tableColumn id="12" name="11中河内八尾" dataDxfId="154"/>
    <tableColumn id="13" name="12中河内南" dataDxfId="153"/>
    <tableColumn id="14" name="13南河内北" dataDxfId="152"/>
    <tableColumn id="15" name="14南河内南" dataDxfId="151"/>
    <tableColumn id="16" name="15泉州北" dataDxfId="150"/>
    <tableColumn id="17" name="16泉州中" dataDxfId="149"/>
    <tableColumn id="18" name="17泉州南" dataDxfId="148"/>
    <tableColumn id="19" name="18大阪市" dataDxfId="147"/>
    <tableColumn id="20" name="19堺市" dataDxfId="146"/>
    <tableColumn id="21" name="列21" dataDxfId="145"/>
  </tableColumns>
  <tableStyleInfo name="TableStyleMedium7" showFirstColumn="0" showLastColumn="0" showRowStripes="1" showColumnStripes="0"/>
</table>
</file>

<file path=xl/tables/table74.xml><?xml version="1.0" encoding="utf-8"?>
<table xmlns="http://schemas.openxmlformats.org/spreadsheetml/2006/main" id="73" name="年齢区分入院時住所地" displayName="年齢区分入院時住所地" ref="N3:AJ13" totalsRowShown="0" headerRowDxfId="144" tableBorderDxfId="143">
  <autoFilter ref="N3:AJ13"/>
  <tableColumns count="23">
    <tableColumn id="1" name="行ラベル" dataDxfId="142"/>
    <tableColumn id="2" name="01豊能北" dataDxfId="141"/>
    <tableColumn id="3" name="02豊能豊中" dataDxfId="140"/>
    <tableColumn id="4" name="03豊能吹田" dataDxfId="139"/>
    <tableColumn id="5" name="04三島" dataDxfId="138"/>
    <tableColumn id="6" name="05三島高槻" dataDxfId="137"/>
    <tableColumn id="7" name="06北河内枚方" dataDxfId="136"/>
    <tableColumn id="8" name="07北河内寝屋川" dataDxfId="135"/>
    <tableColumn id="9" name="08北河内西" dataDxfId="134"/>
    <tableColumn id="10" name="09北河内東" dataDxfId="133"/>
    <tableColumn id="11" name="10中河内東大阪" dataDxfId="132"/>
    <tableColumn id="12" name="11中河内八尾" dataDxfId="131"/>
    <tableColumn id="13" name="12中河内南" dataDxfId="130"/>
    <tableColumn id="14" name="13南河内北" dataDxfId="129"/>
    <tableColumn id="15" name="14南河内南" dataDxfId="128"/>
    <tableColumn id="16" name="15泉州北" dataDxfId="127"/>
    <tableColumn id="17" name="16泉州中" dataDxfId="126"/>
    <tableColumn id="18" name="17泉州南" dataDxfId="125"/>
    <tableColumn id="19" name="18大阪市" dataDxfId="124"/>
    <tableColumn id="20" name="19堺市" dataDxfId="123"/>
    <tableColumn id="21" name="98他府県"/>
    <tableColumn id="22" name="99不明その他" dataDxfId="122"/>
    <tableColumn id="23" name="列23" dataDxfId="121"/>
  </tableColumns>
  <tableStyleInfo name="TableStyleMedium2" showFirstColumn="0" showLastColumn="0" showRowStripes="1" showColumnStripes="0"/>
</table>
</file>

<file path=xl/tables/table75.xml><?xml version="1.0" encoding="utf-8"?>
<table xmlns="http://schemas.openxmlformats.org/spreadsheetml/2006/main" id="75" name="年齢区分入院時住所地＿65歳未満以上" displayName="年齢区分入院時住所地＿65歳未満以上" ref="N14:AJ16" totalsRowShown="0" tableBorderDxfId="120">
  <autoFilter ref="N14:AJ16"/>
  <tableColumns count="23">
    <tableColumn id="1" name="列1" dataDxfId="119"/>
    <tableColumn id="2" name="列2"/>
    <tableColumn id="3" name="列3"/>
    <tableColumn id="4" name="列4"/>
    <tableColumn id="5" name="列5"/>
    <tableColumn id="6" name="列6"/>
    <tableColumn id="7" name="列7"/>
    <tableColumn id="8" name="列8"/>
    <tableColumn id="9" name="列9"/>
    <tableColumn id="10" name="列10"/>
    <tableColumn id="11" name="列11"/>
    <tableColumn id="12" name="列12"/>
    <tableColumn id="13" name="列13"/>
    <tableColumn id="14" name="列14"/>
    <tableColumn id="15" name="列15"/>
    <tableColumn id="16" name="列16"/>
    <tableColumn id="17" name="列17"/>
    <tableColumn id="18" name="列18"/>
    <tableColumn id="19" name="列19"/>
    <tableColumn id="20" name="列20"/>
    <tableColumn id="21" name="列21"/>
    <tableColumn id="22" name="列22"/>
    <tableColumn id="23" name="列23"/>
  </tableColumns>
  <tableStyleInfo name="TableStyleMedium2" showFirstColumn="0" showLastColumn="0" showRowStripes="1" showColumnStripes="0"/>
</table>
</file>

<file path=xl/tables/table76.xml><?xml version="1.0" encoding="utf-8"?>
<table xmlns="http://schemas.openxmlformats.org/spreadsheetml/2006/main" id="78" name="入院形態入院時住所地" displayName="入院形態入院時住所地" ref="M3:AI11" totalsRowShown="0" headerRowDxfId="118" tableBorderDxfId="117">
  <autoFilter ref="M3:AI11"/>
  <tableColumns count="23">
    <tableColumn id="1" name="行ラベル"/>
    <tableColumn id="2" name="01豊能北"/>
    <tableColumn id="3" name="02豊能豊中"/>
    <tableColumn id="4" name="03豊能吹田"/>
    <tableColumn id="5" name="04三島"/>
    <tableColumn id="6" name="05三島高槻"/>
    <tableColumn id="7" name="06北河内枚方"/>
    <tableColumn id="8" name="07北河内寝屋川"/>
    <tableColumn id="9" name="08北河内西"/>
    <tableColumn id="10" name="09北河内東"/>
    <tableColumn id="11" name="10中河内東大阪"/>
    <tableColumn id="12" name="11中河内八尾"/>
    <tableColumn id="13" name="12中河内南"/>
    <tableColumn id="14" name="13南河内北"/>
    <tableColumn id="15" name="14南河内南"/>
    <tableColumn id="16" name="15泉州北"/>
    <tableColumn id="17" name="16泉州中"/>
    <tableColumn id="18" name="17泉州南"/>
    <tableColumn id="19" name="18大阪市"/>
    <tableColumn id="20" name="19堺市"/>
    <tableColumn id="21" name="98他府県"/>
    <tableColumn id="22" name="99不明その他" dataDxfId="116"/>
    <tableColumn id="23" name="列23" dataDxfId="115"/>
  </tableColumns>
  <tableStyleInfo name="TableStyleMedium2" showFirstColumn="0" showLastColumn="0" showRowStripes="1" showColumnStripes="0"/>
</table>
</file>

<file path=xl/tables/table77.xml><?xml version="1.0" encoding="utf-8"?>
<table xmlns="http://schemas.openxmlformats.org/spreadsheetml/2006/main" id="79" name="疾患名区分入院時住所地" displayName="疾患名区分入院時住所地" ref="M3:AI22" totalsRowShown="0" headerRowDxfId="114" tableBorderDxfId="113">
  <autoFilter ref="M3:AI22"/>
  <tableColumns count="23">
    <tableColumn id="1" name="行ラベル" dataDxfId="112"/>
    <tableColumn id="2" name="01豊能北"/>
    <tableColumn id="3" name="02豊能豊中"/>
    <tableColumn id="4" name="03豊能吹田"/>
    <tableColumn id="5" name="04三島"/>
    <tableColumn id="6" name="05三島高槻"/>
    <tableColumn id="7" name="06北河内枚方"/>
    <tableColumn id="8" name="07北河内寝屋川"/>
    <tableColumn id="9" name="08北河内西"/>
    <tableColumn id="10" name="09北河内東"/>
    <tableColumn id="11" name="10中河内東大阪"/>
    <tableColumn id="12" name="11中河内八尾"/>
    <tableColumn id="13" name="12中河内南"/>
    <tableColumn id="14" name="13南河内北"/>
    <tableColumn id="15" name="14南河内南"/>
    <tableColumn id="16" name="15泉州北"/>
    <tableColumn id="17" name="16泉州中"/>
    <tableColumn id="18" name="17泉州南"/>
    <tableColumn id="19" name="18大阪市"/>
    <tableColumn id="20" name="19堺市"/>
    <tableColumn id="21" name="98他府県"/>
    <tableColumn id="22" name="99不明その他" dataDxfId="111"/>
    <tableColumn id="23" name="列23" dataDxfId="110"/>
  </tableColumns>
  <tableStyleInfo name="TableStyleMedium2" showFirstColumn="0" showLastColumn="0" showRowStripes="1" showColumnStripes="0"/>
</table>
</file>

<file path=xl/tables/table78.xml><?xml version="1.0" encoding="utf-8"?>
<table xmlns="http://schemas.openxmlformats.org/spreadsheetml/2006/main" id="80" name="在院期間区分入院時住所地" displayName="在院期間区分入院時住所地" ref="M3:AI20" totalsRowShown="0" headerRowDxfId="109">
  <autoFilter ref="M3:AI20"/>
  <tableColumns count="23">
    <tableColumn id="1" name="行ラベル"/>
    <tableColumn id="2" name="01豊能北"/>
    <tableColumn id="3" name="02豊能豊中"/>
    <tableColumn id="4" name="03豊能吹田"/>
    <tableColumn id="5" name="04三島"/>
    <tableColumn id="6" name="05三島高槻"/>
    <tableColumn id="7" name="06北河内枚方"/>
    <tableColumn id="8" name="07北河内寝屋川"/>
    <tableColumn id="9" name="08北河内西"/>
    <tableColumn id="10" name="09北河内東"/>
    <tableColumn id="11" name="10中河内東大阪"/>
    <tableColumn id="12" name="11中河内八尾"/>
    <tableColumn id="13" name="12中河内南"/>
    <tableColumn id="14" name="13南河内北"/>
    <tableColumn id="15" name="14南河内南"/>
    <tableColumn id="16" name="15泉州北"/>
    <tableColumn id="17" name="16泉州中"/>
    <tableColumn id="18" name="17泉州南"/>
    <tableColumn id="19" name="18大阪市"/>
    <tableColumn id="20" name="19堺市"/>
    <tableColumn id="21" name="98他府県"/>
    <tableColumn id="22" name="99不明その他"/>
    <tableColumn id="23" name="列23" dataDxfId="108"/>
  </tableColumns>
  <tableStyleInfo name="TableStyleMedium2" showFirstColumn="0" showLastColumn="0" showRowStripes="1" showColumnStripes="0"/>
</table>
</file>

<file path=xl/tables/table79.xml><?xml version="1.0" encoding="utf-8"?>
<table xmlns="http://schemas.openxmlformats.org/spreadsheetml/2006/main" id="81" name="状態像区分入院時住所地" displayName="状態像区分入院時住所地" ref="M3:AI10" totalsRowShown="0" headerRowDxfId="107" dataDxfId="106" tableBorderDxfId="105">
  <autoFilter ref="M3:AI10"/>
  <tableColumns count="23">
    <tableColumn id="1" name="行ラベル" dataDxfId="104"/>
    <tableColumn id="2" name="01豊能北" dataDxfId="103"/>
    <tableColumn id="3" name="02豊能豊中" dataDxfId="102"/>
    <tableColumn id="4" name="03豊能吹田" dataDxfId="101"/>
    <tableColumn id="5" name="04三島" dataDxfId="100"/>
    <tableColumn id="6" name="05三島高槻" dataDxfId="99"/>
    <tableColumn id="7" name="06北河内枚方" dataDxfId="98"/>
    <tableColumn id="8" name="07北河内寝屋川" dataDxfId="97"/>
    <tableColumn id="9" name="08北河内西" dataDxfId="96"/>
    <tableColumn id="10" name="09北河内東" dataDxfId="95"/>
    <tableColumn id="11" name="10中河内東大阪" dataDxfId="94"/>
    <tableColumn id="12" name="11中河内八尾" dataDxfId="93"/>
    <tableColumn id="13" name="12中河内南" dataDxfId="92"/>
    <tableColumn id="14" name="13南河内北" dataDxfId="91"/>
    <tableColumn id="15" name="14南河内南" dataDxfId="90"/>
    <tableColumn id="16" name="15泉州北" dataDxfId="89"/>
    <tableColumn id="17" name="16泉州中" dataDxfId="88"/>
    <tableColumn id="18" name="17泉州南" dataDxfId="87"/>
    <tableColumn id="19" name="18大阪市" dataDxfId="86"/>
    <tableColumn id="20" name="19堺市" dataDxfId="85"/>
    <tableColumn id="21" name="98他府県" dataDxfId="84"/>
    <tableColumn id="22" name="99不明その他" dataDxfId="83"/>
    <tableColumn id="23" name="列23" dataDxfId="82"/>
  </tableColumns>
  <tableStyleInfo name="TableStyleMedium2" showFirstColumn="0" showLastColumn="0" showRowStripes="1" showColumnStripes="0"/>
</table>
</file>

<file path=xl/tables/table8.xml><?xml version="1.0" encoding="utf-8"?>
<table xmlns="http://schemas.openxmlformats.org/spreadsheetml/2006/main" id="4" name="疾患別＿寛解" displayName="疾患別＿寛解" ref="G24:H42" totalsRowShown="0" headerRowDxfId="985" tableBorderDxfId="984">
  <autoFilter ref="G24:H42">
    <filterColumn colId="0" hiddenButton="1"/>
    <filterColumn colId="1" hiddenButton="1"/>
  </autoFilter>
  <tableColumns count="2">
    <tableColumn id="1" name="行ラベル"/>
    <tableColumn id="2" name="データの個数 / 疾患名" dataDxfId="983"/>
  </tableColumns>
  <tableStyleInfo name="TableStyleMedium2" showFirstColumn="0" showLastColumn="0" showRowStripes="1" showColumnStripes="0"/>
</table>
</file>

<file path=xl/tables/table80.xml><?xml version="1.0" encoding="utf-8"?>
<table xmlns="http://schemas.openxmlformats.org/spreadsheetml/2006/main" id="74" name="退院予定有無入院時住所地" displayName="退院予定有無入院時住所地" ref="M3:AI6" totalsRowShown="0" headerRowDxfId="81" dataDxfId="80">
  <autoFilter ref="M3:AI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name="行ラベル" dataDxfId="79"/>
    <tableColumn id="2" name="01豊能北" dataDxfId="78"/>
    <tableColumn id="3" name="02豊能豊中" dataDxfId="77"/>
    <tableColumn id="4" name="03豊能吹田" dataDxfId="76"/>
    <tableColumn id="5" name="04三島" dataDxfId="75"/>
    <tableColumn id="6" name="05三島高槻" dataDxfId="74"/>
    <tableColumn id="7" name="06北河内枚方" dataDxfId="73"/>
    <tableColumn id="8" name="07北河内寝屋川" dataDxfId="72"/>
    <tableColumn id="9" name="08北河内西" dataDxfId="71"/>
    <tableColumn id="10" name="09北河内東" dataDxfId="70"/>
    <tableColumn id="11" name="10中河内東大阪" dataDxfId="69"/>
    <tableColumn id="12" name="11中河内八尾" dataDxfId="68"/>
    <tableColumn id="13" name="12中河内南" dataDxfId="67"/>
    <tableColumn id="14" name="13南河内北" dataDxfId="66"/>
    <tableColumn id="15" name="14南河内南" dataDxfId="65"/>
    <tableColumn id="16" name="15泉州北" dataDxfId="64"/>
    <tableColumn id="17" name="16泉州中" dataDxfId="63"/>
    <tableColumn id="18" name="17泉州南" dataDxfId="62"/>
    <tableColumn id="19" name="18大阪市" dataDxfId="61"/>
    <tableColumn id="20" name="19堺市" dataDxfId="60"/>
    <tableColumn id="21" name="98他府県" dataDxfId="59"/>
    <tableColumn id="22" name="99不明その他" dataDxfId="58"/>
    <tableColumn id="23" name="列23" dataDxfId="57"/>
  </tableColumns>
  <tableStyleInfo name="TableStyleMedium2" showFirstColumn="0" showLastColumn="0" showRowStripes="1" showColumnStripes="0"/>
</table>
</file>

<file path=xl/tables/table81.xml><?xml version="1.0" encoding="utf-8"?>
<table xmlns="http://schemas.openxmlformats.org/spreadsheetml/2006/main" id="76" name="退院阻害要因入院時住所地" displayName="退院阻害要因入院時住所地" ref="M23:AI43" totalsRowShown="0" headerRowDxfId="56" dataDxfId="54" headerRowBorderDxfId="55">
  <autoFilter ref="M23:AI4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name="値" dataDxfId="53"/>
    <tableColumn id="2" name="01豊能北" dataDxfId="52"/>
    <tableColumn id="3" name="02豊能豊中" dataDxfId="51"/>
    <tableColumn id="4" name="03豊能吹田" dataDxfId="50"/>
    <tableColumn id="5" name="04三島" dataDxfId="49"/>
    <tableColumn id="6" name="05三島高槻" dataDxfId="48"/>
    <tableColumn id="7" name="06北河内枚方" dataDxfId="47"/>
    <tableColumn id="8" name="07北河内寝屋川" dataDxfId="46"/>
    <tableColumn id="9" name="08北河内西" dataDxfId="45"/>
    <tableColumn id="10" name="09北河内東" dataDxfId="44"/>
    <tableColumn id="11" name="10中河内東大阪" dataDxfId="43"/>
    <tableColumn id="12" name="11中河内八尾" dataDxfId="42"/>
    <tableColumn id="13" name="12中河内南" dataDxfId="41"/>
    <tableColumn id="14" name="13南河内北" dataDxfId="40"/>
    <tableColumn id="15" name="14南河内南" dataDxfId="39"/>
    <tableColumn id="16" name="15泉州北" dataDxfId="38"/>
    <tableColumn id="17" name="16泉州中" dataDxfId="37"/>
    <tableColumn id="18" name="17泉州南" dataDxfId="36"/>
    <tableColumn id="19" name="18大阪市" dataDxfId="35"/>
    <tableColumn id="20" name="19堺市" dataDxfId="34"/>
    <tableColumn id="21" name="98他府県" dataDxfId="33"/>
    <tableColumn id="22" name="99不明その他" dataDxfId="32"/>
    <tableColumn id="23" name="列23" dataDxfId="31"/>
  </tableColumns>
  <tableStyleInfo name="TableStyleMedium2" showFirstColumn="0" showLastColumn="0" showRowStripes="1" showColumnStripes="0"/>
</table>
</file>

<file path=xl/tables/table82.xml><?xml version="1.0" encoding="utf-8"?>
<table xmlns="http://schemas.openxmlformats.org/spreadsheetml/2006/main" id="82" name="退院阻害要因有無入院時住所地" displayName="退院阻害要因有無入院時住所地" ref="M13:AI16" totalsRowShown="0" tableBorderDxfId="30">
  <autoFilter ref="M13:AI16"/>
  <tableColumns count="23">
    <tableColumn id="1" name="行ラベル"/>
    <tableColumn id="2" name="01豊能北"/>
    <tableColumn id="3" name="02豊能豊中"/>
    <tableColumn id="4" name="03豊能吹田"/>
    <tableColumn id="5" name="04三島"/>
    <tableColumn id="6" name="05三島高槻"/>
    <tableColumn id="7" name="06北河内枚方"/>
    <tableColumn id="8" name="07北河内寝屋川"/>
    <tableColumn id="9" name="08北河内西"/>
    <tableColumn id="10" name="09北河内東"/>
    <tableColumn id="11" name="10中河内東大阪"/>
    <tableColumn id="12" name="11中河内八尾"/>
    <tableColumn id="13" name="12中河内南"/>
    <tableColumn id="14" name="13南河内北"/>
    <tableColumn id="15" name="14南河内南"/>
    <tableColumn id="16" name="15泉州北"/>
    <tableColumn id="17" name="16泉州中"/>
    <tableColumn id="18" name="17泉州南"/>
    <tableColumn id="19" name="18大阪市"/>
    <tableColumn id="20" name="19堺市"/>
    <tableColumn id="21" name="98他府県"/>
    <tableColumn id="22" name="99不明その他"/>
    <tableColumn id="23" name="列23"/>
  </tableColumns>
  <tableStyleInfo name="TableStyleMedium2" showFirstColumn="0" showLastColumn="0" showRowStripes="1" showColumnStripes="0"/>
</table>
</file>

<file path=xl/tables/table83.xml><?xml version="1.0" encoding="utf-8"?>
<table xmlns="http://schemas.openxmlformats.org/spreadsheetml/2006/main" id="77" name="圏域圏域" displayName="圏域圏域" ref="N4:AI24" totalsRowShown="0" headerRowDxfId="29" dataDxfId="28">
  <autoFilter ref="N4:AI2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name="行ラベル" dataDxfId="27"/>
    <tableColumn id="2" name="01豊能北" dataDxfId="26"/>
    <tableColumn id="3" name="02豊能豊中" dataDxfId="25"/>
    <tableColumn id="4" name="03豊能吹田" dataDxfId="24"/>
    <tableColumn id="5" name="04三島" dataDxfId="23"/>
    <tableColumn id="6" name="05三島高槻" dataDxfId="22"/>
    <tableColumn id="7" name="06北河内枚方" dataDxfId="21"/>
    <tableColumn id="8" name="07北河内寝屋川" dataDxfId="20"/>
    <tableColumn id="9" name="08北河内西" dataDxfId="19"/>
    <tableColumn id="10" name="09北河内東" dataDxfId="18"/>
    <tableColumn id="11" name="10中河内東大阪" dataDxfId="17"/>
    <tableColumn id="12" name="11中河内八尾" dataDxfId="16"/>
    <tableColumn id="13" name="12中河内南" dataDxfId="15"/>
    <tableColumn id="14" name="13南河内北" dataDxfId="14"/>
    <tableColumn id="15" name="14南河内南" dataDxfId="13"/>
    <tableColumn id="16" name="15泉州北" dataDxfId="12"/>
    <tableColumn id="17" name="16泉州中" dataDxfId="11"/>
    <tableColumn id="18" name="17泉州南" dataDxfId="10"/>
    <tableColumn id="19" name="18大阪市" dataDxfId="9"/>
    <tableColumn id="20" name="19堺市" dataDxfId="8"/>
    <tableColumn id="21" name="98他府県" dataDxfId="7"/>
    <tableColumn id="22" name="99不明その他" dataDxfId="6"/>
  </tableColumns>
  <tableStyleInfo name="TableStyleMedium2" showFirstColumn="0" showLastColumn="0" showRowStripes="1" showColumnStripes="0"/>
</table>
</file>

<file path=xl/tables/table84.xml><?xml version="1.0" encoding="utf-8"?>
<table xmlns="http://schemas.openxmlformats.org/spreadsheetml/2006/main" id="83" name="圏域圏域＿1年以上" displayName="圏域圏域＿1年以上" ref="N27:AJ46" totalsRowShown="0" headerRowDxfId="5" headerRowBorderDxfId="4" tableBorderDxfId="3" totalsRowBorderDxfId="2">
  <autoFilter ref="N27:AJ46"/>
  <tableColumns count="23">
    <tableColumn id="1" name="行ラベル" dataDxfId="1"/>
    <tableColumn id="2" name="01豊能北"/>
    <tableColumn id="3" name="02豊能豊中"/>
    <tableColumn id="4" name="03豊能吹田"/>
    <tableColumn id="5" name="04三島"/>
    <tableColumn id="6" name="05三島高槻"/>
    <tableColumn id="7" name="06北河内枚方"/>
    <tableColumn id="8" name="07北河内寝屋川"/>
    <tableColumn id="9" name="08北河内西"/>
    <tableColumn id="10" name="09北河内東"/>
    <tableColumn id="11" name="10中河内東大阪"/>
    <tableColumn id="12" name="11中河内八尾"/>
    <tableColumn id="13" name="12中河内南"/>
    <tableColumn id="14" name="13南河内北"/>
    <tableColumn id="15" name="14南河内南"/>
    <tableColumn id="16" name="15泉州北"/>
    <tableColumn id="17" name="16泉州中"/>
    <tableColumn id="18" name="17泉州南"/>
    <tableColumn id="19" name="18大阪市"/>
    <tableColumn id="20" name="19堺市"/>
    <tableColumn id="21" name="98他府県"/>
    <tableColumn id="22" name="99不明その他"/>
    <tableColumn id="23" name="列23" dataDxfId="0"/>
  </tableColumns>
  <tableStyleInfo name="TableStyleMedium2" showFirstColumn="0" showLastColumn="0" showRowStripes="1" showColumnStripes="0"/>
</table>
</file>

<file path=xl/tables/table9.xml><?xml version="1.0" encoding="utf-8"?>
<table xmlns="http://schemas.openxmlformats.org/spreadsheetml/2006/main" id="6" name="疾患別＿院内寛解" displayName="疾患別＿院内寛解" ref="G44:H62" totalsRowShown="0" headerRowDxfId="982" headerRowBorderDxfId="981" tableBorderDxfId="980">
  <autoFilter ref="G44:H62">
    <filterColumn colId="0" hiddenButton="1"/>
    <filterColumn colId="1" hiddenButton="1"/>
  </autoFilter>
  <tableColumns count="2">
    <tableColumn id="1" name="行ラベル" dataDxfId="979"/>
    <tableColumn id="2" name="データの個数 / 疾患名" dataDxfId="978"/>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table" Target="../tables/table21.xml"/><Relationship Id="rId2" Type="http://schemas.openxmlformats.org/officeDocument/2006/relationships/drawing" Target="../drawings/drawing9.xml"/><Relationship Id="rId1" Type="http://schemas.openxmlformats.org/officeDocument/2006/relationships/printerSettings" Target="../printerSettings/printerSettings10.bin"/><Relationship Id="rId6" Type="http://schemas.openxmlformats.org/officeDocument/2006/relationships/table" Target="../tables/table20.xml"/><Relationship Id="rId5" Type="http://schemas.openxmlformats.org/officeDocument/2006/relationships/table" Target="../tables/table19.xml"/><Relationship Id="rId4" Type="http://schemas.openxmlformats.org/officeDocument/2006/relationships/ctrlProp" Target="../ctrlProps/ctrlProp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trlProp" Target="../ctrlProps/ctrlProp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trlProp" Target="../ctrlProps/ctrlProp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 Id="rId6" Type="http://schemas.openxmlformats.org/officeDocument/2006/relationships/table" Target="../tables/table23.xml"/><Relationship Id="rId5" Type="http://schemas.openxmlformats.org/officeDocument/2006/relationships/table" Target="../tables/table22.xml"/><Relationship Id="rId4" Type="http://schemas.openxmlformats.org/officeDocument/2006/relationships/ctrlProp" Target="../ctrlProps/ctrlProp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4.bin"/><Relationship Id="rId6" Type="http://schemas.openxmlformats.org/officeDocument/2006/relationships/table" Target="../tables/table25.xml"/><Relationship Id="rId5" Type="http://schemas.openxmlformats.org/officeDocument/2006/relationships/table" Target="../tables/table24.xml"/><Relationship Id="rId4" Type="http://schemas.openxmlformats.org/officeDocument/2006/relationships/ctrlProp" Target="../ctrlProps/ctrlProp1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5.bin"/><Relationship Id="rId6" Type="http://schemas.openxmlformats.org/officeDocument/2006/relationships/table" Target="../tables/table27.xml"/><Relationship Id="rId5" Type="http://schemas.openxmlformats.org/officeDocument/2006/relationships/table" Target="../tables/table26.xml"/><Relationship Id="rId4" Type="http://schemas.openxmlformats.org/officeDocument/2006/relationships/ctrlProp" Target="../ctrlProps/ctrlProp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6.bin"/><Relationship Id="rId6" Type="http://schemas.openxmlformats.org/officeDocument/2006/relationships/table" Target="../tables/table29.xml"/><Relationship Id="rId5" Type="http://schemas.openxmlformats.org/officeDocument/2006/relationships/table" Target="../tables/table28.xml"/><Relationship Id="rId4" Type="http://schemas.openxmlformats.org/officeDocument/2006/relationships/ctrlProp" Target="../ctrlProps/ctrlProp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6.xml"/><Relationship Id="rId1" Type="http://schemas.openxmlformats.org/officeDocument/2006/relationships/printerSettings" Target="../printerSettings/printerSettings17.bin"/><Relationship Id="rId4" Type="http://schemas.openxmlformats.org/officeDocument/2006/relationships/ctrlProp" Target="../ctrlProps/ctrlProp16.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7.xml"/><Relationship Id="rId1" Type="http://schemas.openxmlformats.org/officeDocument/2006/relationships/printerSettings" Target="../printerSettings/printerSettings18.bin"/><Relationship Id="rId4" Type="http://schemas.openxmlformats.org/officeDocument/2006/relationships/ctrlProp" Target="../ctrlProps/ctrlProp17.xml"/></Relationships>
</file>

<file path=xl/worksheets/_rels/sheet19.xml.rels><?xml version="1.0" encoding="UTF-8" standalone="yes"?>
<Relationships xmlns="http://schemas.openxmlformats.org/package/2006/relationships"><Relationship Id="rId8" Type="http://schemas.openxmlformats.org/officeDocument/2006/relationships/table" Target="../tables/table33.xml"/><Relationship Id="rId3" Type="http://schemas.openxmlformats.org/officeDocument/2006/relationships/vmlDrawing" Target="../drawings/vmlDrawing18.vml"/><Relationship Id="rId7" Type="http://schemas.openxmlformats.org/officeDocument/2006/relationships/table" Target="../tables/table32.xml"/><Relationship Id="rId2" Type="http://schemas.openxmlformats.org/officeDocument/2006/relationships/drawing" Target="../drawings/drawing18.xml"/><Relationship Id="rId1" Type="http://schemas.openxmlformats.org/officeDocument/2006/relationships/printerSettings" Target="../printerSettings/printerSettings19.bin"/><Relationship Id="rId6" Type="http://schemas.openxmlformats.org/officeDocument/2006/relationships/table" Target="../tables/table31.xml"/><Relationship Id="rId5" Type="http://schemas.openxmlformats.org/officeDocument/2006/relationships/table" Target="../tables/table30.xml"/><Relationship Id="rId10" Type="http://schemas.openxmlformats.org/officeDocument/2006/relationships/table" Target="../tables/table35.xml"/><Relationship Id="rId4" Type="http://schemas.openxmlformats.org/officeDocument/2006/relationships/ctrlProp" Target="../ctrlProps/ctrlProp18.xml"/><Relationship Id="rId9" Type="http://schemas.openxmlformats.org/officeDocument/2006/relationships/table" Target="../tables/table3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table" Target="../tables/table2.xml"/><Relationship Id="rId5" Type="http://schemas.openxmlformats.org/officeDocument/2006/relationships/table" Target="../tables/table1.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8" Type="http://schemas.openxmlformats.org/officeDocument/2006/relationships/table" Target="../tables/table39.xml"/><Relationship Id="rId3" Type="http://schemas.openxmlformats.org/officeDocument/2006/relationships/vmlDrawing" Target="../drawings/vmlDrawing19.vml"/><Relationship Id="rId7" Type="http://schemas.openxmlformats.org/officeDocument/2006/relationships/table" Target="../tables/table38.xml"/><Relationship Id="rId2" Type="http://schemas.openxmlformats.org/officeDocument/2006/relationships/drawing" Target="../drawings/drawing19.xml"/><Relationship Id="rId1" Type="http://schemas.openxmlformats.org/officeDocument/2006/relationships/printerSettings" Target="../printerSettings/printerSettings20.bin"/><Relationship Id="rId6" Type="http://schemas.openxmlformats.org/officeDocument/2006/relationships/table" Target="../tables/table37.xml"/><Relationship Id="rId5" Type="http://schemas.openxmlformats.org/officeDocument/2006/relationships/table" Target="../tables/table36.xml"/><Relationship Id="rId10" Type="http://schemas.openxmlformats.org/officeDocument/2006/relationships/table" Target="../tables/table41.xml"/><Relationship Id="rId4" Type="http://schemas.openxmlformats.org/officeDocument/2006/relationships/ctrlProp" Target="../ctrlProps/ctrlProp19.xml"/><Relationship Id="rId9" Type="http://schemas.openxmlformats.org/officeDocument/2006/relationships/table" Target="../tables/table40.xml"/></Relationships>
</file>

<file path=xl/worksheets/_rels/sheet21.xml.rels><?xml version="1.0" encoding="UTF-8" standalone="yes"?>
<Relationships xmlns="http://schemas.openxmlformats.org/package/2006/relationships"><Relationship Id="rId8" Type="http://schemas.openxmlformats.org/officeDocument/2006/relationships/table" Target="../tables/table45.xml"/><Relationship Id="rId3" Type="http://schemas.openxmlformats.org/officeDocument/2006/relationships/vmlDrawing" Target="../drawings/vmlDrawing20.vml"/><Relationship Id="rId7" Type="http://schemas.openxmlformats.org/officeDocument/2006/relationships/table" Target="../tables/table44.xml"/><Relationship Id="rId2" Type="http://schemas.openxmlformats.org/officeDocument/2006/relationships/drawing" Target="../drawings/drawing20.xml"/><Relationship Id="rId1" Type="http://schemas.openxmlformats.org/officeDocument/2006/relationships/printerSettings" Target="../printerSettings/printerSettings21.bin"/><Relationship Id="rId6" Type="http://schemas.openxmlformats.org/officeDocument/2006/relationships/table" Target="../tables/table43.xml"/><Relationship Id="rId5" Type="http://schemas.openxmlformats.org/officeDocument/2006/relationships/table" Target="../tables/table42.xml"/><Relationship Id="rId10" Type="http://schemas.openxmlformats.org/officeDocument/2006/relationships/table" Target="../tables/table47.xml"/><Relationship Id="rId4" Type="http://schemas.openxmlformats.org/officeDocument/2006/relationships/ctrlProp" Target="../ctrlProps/ctrlProp20.xml"/><Relationship Id="rId9" Type="http://schemas.openxmlformats.org/officeDocument/2006/relationships/table" Target="../tables/table46.xml"/></Relationships>
</file>

<file path=xl/worksheets/_rels/sheet22.xml.rels><?xml version="1.0" encoding="UTF-8" standalone="yes"?>
<Relationships xmlns="http://schemas.openxmlformats.org/package/2006/relationships"><Relationship Id="rId8" Type="http://schemas.openxmlformats.org/officeDocument/2006/relationships/table" Target="../tables/table51.xml"/><Relationship Id="rId3" Type="http://schemas.openxmlformats.org/officeDocument/2006/relationships/vmlDrawing" Target="../drawings/vmlDrawing21.vml"/><Relationship Id="rId7" Type="http://schemas.openxmlformats.org/officeDocument/2006/relationships/table" Target="../tables/table50.xml"/><Relationship Id="rId2" Type="http://schemas.openxmlformats.org/officeDocument/2006/relationships/drawing" Target="../drawings/drawing21.xml"/><Relationship Id="rId1" Type="http://schemas.openxmlformats.org/officeDocument/2006/relationships/printerSettings" Target="../printerSettings/printerSettings22.bin"/><Relationship Id="rId6" Type="http://schemas.openxmlformats.org/officeDocument/2006/relationships/table" Target="../tables/table49.xml"/><Relationship Id="rId5" Type="http://schemas.openxmlformats.org/officeDocument/2006/relationships/table" Target="../tables/table48.xml"/><Relationship Id="rId4" Type="http://schemas.openxmlformats.org/officeDocument/2006/relationships/ctrlProp" Target="../ctrlProps/ctrlProp21.xml"/></Relationships>
</file>

<file path=xl/worksheets/_rels/sheet23.xml.rels><?xml version="1.0" encoding="UTF-8" standalone="yes"?>
<Relationships xmlns="http://schemas.openxmlformats.org/package/2006/relationships"><Relationship Id="rId8" Type="http://schemas.openxmlformats.org/officeDocument/2006/relationships/table" Target="../tables/table55.xml"/><Relationship Id="rId3" Type="http://schemas.openxmlformats.org/officeDocument/2006/relationships/vmlDrawing" Target="../drawings/vmlDrawing22.vml"/><Relationship Id="rId7" Type="http://schemas.openxmlformats.org/officeDocument/2006/relationships/table" Target="../tables/table54.xml"/><Relationship Id="rId2" Type="http://schemas.openxmlformats.org/officeDocument/2006/relationships/drawing" Target="../drawings/drawing22.xml"/><Relationship Id="rId1" Type="http://schemas.openxmlformats.org/officeDocument/2006/relationships/printerSettings" Target="../printerSettings/printerSettings23.bin"/><Relationship Id="rId6" Type="http://schemas.openxmlformats.org/officeDocument/2006/relationships/table" Target="../tables/table53.xml"/><Relationship Id="rId5" Type="http://schemas.openxmlformats.org/officeDocument/2006/relationships/table" Target="../tables/table52.xml"/><Relationship Id="rId4" Type="http://schemas.openxmlformats.org/officeDocument/2006/relationships/ctrlProp" Target="../ctrlProps/ctrlProp22.xml"/></Relationships>
</file>

<file path=xl/worksheets/_rels/sheet24.xml.rels><?xml version="1.0" encoding="UTF-8" standalone="yes"?>
<Relationships xmlns="http://schemas.openxmlformats.org/package/2006/relationships"><Relationship Id="rId8" Type="http://schemas.openxmlformats.org/officeDocument/2006/relationships/table" Target="../tables/table59.xml"/><Relationship Id="rId3" Type="http://schemas.openxmlformats.org/officeDocument/2006/relationships/vmlDrawing" Target="../drawings/vmlDrawing23.vml"/><Relationship Id="rId7" Type="http://schemas.openxmlformats.org/officeDocument/2006/relationships/table" Target="../tables/table58.xml"/><Relationship Id="rId2" Type="http://schemas.openxmlformats.org/officeDocument/2006/relationships/drawing" Target="../drawings/drawing23.xml"/><Relationship Id="rId1" Type="http://schemas.openxmlformats.org/officeDocument/2006/relationships/printerSettings" Target="../printerSettings/printerSettings24.bin"/><Relationship Id="rId6" Type="http://schemas.openxmlformats.org/officeDocument/2006/relationships/table" Target="../tables/table57.xml"/><Relationship Id="rId5" Type="http://schemas.openxmlformats.org/officeDocument/2006/relationships/table" Target="../tables/table56.xml"/><Relationship Id="rId4" Type="http://schemas.openxmlformats.org/officeDocument/2006/relationships/ctrlProp" Target="../ctrlProps/ctrlProp23.xml"/></Relationships>
</file>

<file path=xl/worksheets/_rels/sheet25.xml.rels><?xml version="1.0" encoding="UTF-8" standalone="yes"?>
<Relationships xmlns="http://schemas.openxmlformats.org/package/2006/relationships"><Relationship Id="rId8" Type="http://schemas.openxmlformats.org/officeDocument/2006/relationships/table" Target="../tables/table63.xml"/><Relationship Id="rId3" Type="http://schemas.openxmlformats.org/officeDocument/2006/relationships/vmlDrawing" Target="../drawings/vmlDrawing24.vml"/><Relationship Id="rId7" Type="http://schemas.openxmlformats.org/officeDocument/2006/relationships/table" Target="../tables/table62.xml"/><Relationship Id="rId2" Type="http://schemas.openxmlformats.org/officeDocument/2006/relationships/drawing" Target="../drawings/drawing24.xml"/><Relationship Id="rId1" Type="http://schemas.openxmlformats.org/officeDocument/2006/relationships/printerSettings" Target="../printerSettings/printerSettings25.bin"/><Relationship Id="rId6" Type="http://schemas.openxmlformats.org/officeDocument/2006/relationships/table" Target="../tables/table61.xml"/><Relationship Id="rId5" Type="http://schemas.openxmlformats.org/officeDocument/2006/relationships/table" Target="../tables/table60.xml"/><Relationship Id="rId4" Type="http://schemas.openxmlformats.org/officeDocument/2006/relationships/ctrlProp" Target="../ctrlProps/ctrlProp24.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5.xml"/><Relationship Id="rId1" Type="http://schemas.openxmlformats.org/officeDocument/2006/relationships/printerSettings" Target="../printerSettings/printerSettings26.bin"/><Relationship Id="rId6" Type="http://schemas.openxmlformats.org/officeDocument/2006/relationships/table" Target="../tables/table65.xml"/><Relationship Id="rId5" Type="http://schemas.openxmlformats.org/officeDocument/2006/relationships/table" Target="../tables/table64.xml"/><Relationship Id="rId4" Type="http://schemas.openxmlformats.org/officeDocument/2006/relationships/ctrlProp" Target="../ctrlProps/ctrlProp25.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26.xml"/><Relationship Id="rId1" Type="http://schemas.openxmlformats.org/officeDocument/2006/relationships/printerSettings" Target="../printerSettings/printerSettings27.bin"/><Relationship Id="rId5" Type="http://schemas.openxmlformats.org/officeDocument/2006/relationships/table" Target="../tables/table66.xml"/><Relationship Id="rId4" Type="http://schemas.openxmlformats.org/officeDocument/2006/relationships/ctrlProp" Target="../ctrlProps/ctrlProp26.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27.xml"/><Relationship Id="rId1" Type="http://schemas.openxmlformats.org/officeDocument/2006/relationships/printerSettings" Target="../printerSettings/printerSettings28.bin"/><Relationship Id="rId5" Type="http://schemas.openxmlformats.org/officeDocument/2006/relationships/table" Target="../tables/table67.xml"/><Relationship Id="rId4" Type="http://schemas.openxmlformats.org/officeDocument/2006/relationships/ctrlProp" Target="../ctrlProps/ctrlProp27.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28.xml"/><Relationship Id="rId1" Type="http://schemas.openxmlformats.org/officeDocument/2006/relationships/printerSettings" Target="../printerSettings/printerSettings29.bin"/><Relationship Id="rId6" Type="http://schemas.openxmlformats.org/officeDocument/2006/relationships/table" Target="../tables/table68.xml"/><Relationship Id="rId5" Type="http://schemas.openxmlformats.org/officeDocument/2006/relationships/ctrlProp" Target="../ctrlProps/ctrlProp29.xml"/><Relationship Id="rId4" Type="http://schemas.openxmlformats.org/officeDocument/2006/relationships/ctrlProp" Target="../ctrlProps/ctrlProp2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table" Target="../tables/table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ctrlProp" Target="../ctrlProps/ctrlProp2.xml"/></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29.xml"/><Relationship Id="rId1" Type="http://schemas.openxmlformats.org/officeDocument/2006/relationships/printerSettings" Target="../printerSettings/printerSettings30.bin"/><Relationship Id="rId6" Type="http://schemas.openxmlformats.org/officeDocument/2006/relationships/table" Target="../tables/table70.xml"/><Relationship Id="rId5" Type="http://schemas.openxmlformats.org/officeDocument/2006/relationships/table" Target="../tables/table69.xml"/><Relationship Id="rId4" Type="http://schemas.openxmlformats.org/officeDocument/2006/relationships/ctrlProp" Target="../ctrlProps/ctrlProp30.xml"/></Relationships>
</file>

<file path=xl/worksheets/_rels/sheet31.xml.rels><?xml version="1.0" encoding="UTF-8" standalone="yes"?>
<Relationships xmlns="http://schemas.openxmlformats.org/package/2006/relationships"><Relationship Id="rId8" Type="http://schemas.openxmlformats.org/officeDocument/2006/relationships/table" Target="../tables/table73.xml"/><Relationship Id="rId3" Type="http://schemas.openxmlformats.org/officeDocument/2006/relationships/vmlDrawing" Target="../drawings/vmlDrawing30.vml"/><Relationship Id="rId7" Type="http://schemas.openxmlformats.org/officeDocument/2006/relationships/table" Target="../tables/table72.xml"/><Relationship Id="rId2" Type="http://schemas.openxmlformats.org/officeDocument/2006/relationships/drawing" Target="../drawings/drawing30.xml"/><Relationship Id="rId1" Type="http://schemas.openxmlformats.org/officeDocument/2006/relationships/printerSettings" Target="../printerSettings/printerSettings31.bin"/><Relationship Id="rId6" Type="http://schemas.openxmlformats.org/officeDocument/2006/relationships/table" Target="../tables/table71.xml"/><Relationship Id="rId5" Type="http://schemas.openxmlformats.org/officeDocument/2006/relationships/ctrlProp" Target="../ctrlProps/ctrlProp32.xml"/><Relationship Id="rId4" Type="http://schemas.openxmlformats.org/officeDocument/2006/relationships/ctrlProp" Target="../ctrlProps/ctrlProp31.xml"/></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drawing" Target="../drawings/drawing31.xml"/><Relationship Id="rId1" Type="http://schemas.openxmlformats.org/officeDocument/2006/relationships/printerSettings" Target="../printerSettings/printerSettings32.bin"/><Relationship Id="rId6" Type="http://schemas.openxmlformats.org/officeDocument/2006/relationships/table" Target="../tables/table75.xml"/><Relationship Id="rId5" Type="http://schemas.openxmlformats.org/officeDocument/2006/relationships/table" Target="../tables/table74.xml"/><Relationship Id="rId4" Type="http://schemas.openxmlformats.org/officeDocument/2006/relationships/ctrlProp" Target="../ctrlProps/ctrlProp33.xml"/></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drawing" Target="../drawings/drawing32.xml"/><Relationship Id="rId1" Type="http://schemas.openxmlformats.org/officeDocument/2006/relationships/printerSettings" Target="../printerSettings/printerSettings33.bin"/><Relationship Id="rId5" Type="http://schemas.openxmlformats.org/officeDocument/2006/relationships/table" Target="../tables/table76.xml"/><Relationship Id="rId4" Type="http://schemas.openxmlformats.org/officeDocument/2006/relationships/ctrlProp" Target="../ctrlProps/ctrlProp34.xml"/></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drawing" Target="../drawings/drawing33.xml"/><Relationship Id="rId1" Type="http://schemas.openxmlformats.org/officeDocument/2006/relationships/printerSettings" Target="../printerSettings/printerSettings34.bin"/><Relationship Id="rId5" Type="http://schemas.openxmlformats.org/officeDocument/2006/relationships/table" Target="../tables/table77.xml"/><Relationship Id="rId4" Type="http://schemas.openxmlformats.org/officeDocument/2006/relationships/ctrlProp" Target="../ctrlProps/ctrlProp35.xml"/></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drawing" Target="../drawings/drawing34.xml"/><Relationship Id="rId1" Type="http://schemas.openxmlformats.org/officeDocument/2006/relationships/printerSettings" Target="../printerSettings/printerSettings35.bin"/><Relationship Id="rId5" Type="http://schemas.openxmlformats.org/officeDocument/2006/relationships/table" Target="../tables/table78.xml"/><Relationship Id="rId4" Type="http://schemas.openxmlformats.org/officeDocument/2006/relationships/ctrlProp" Target="../ctrlProps/ctrlProp36.xml"/></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35.vml"/><Relationship Id="rId2" Type="http://schemas.openxmlformats.org/officeDocument/2006/relationships/drawing" Target="../drawings/drawing35.xml"/><Relationship Id="rId1" Type="http://schemas.openxmlformats.org/officeDocument/2006/relationships/printerSettings" Target="../printerSettings/printerSettings36.bin"/><Relationship Id="rId5" Type="http://schemas.openxmlformats.org/officeDocument/2006/relationships/table" Target="../tables/table79.xml"/><Relationship Id="rId4" Type="http://schemas.openxmlformats.org/officeDocument/2006/relationships/ctrlProp" Target="../ctrlProps/ctrlProp37.xml"/></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36.vml"/><Relationship Id="rId7" Type="http://schemas.openxmlformats.org/officeDocument/2006/relationships/table" Target="../tables/table82.xml"/><Relationship Id="rId2" Type="http://schemas.openxmlformats.org/officeDocument/2006/relationships/drawing" Target="../drawings/drawing36.xml"/><Relationship Id="rId1" Type="http://schemas.openxmlformats.org/officeDocument/2006/relationships/printerSettings" Target="../printerSettings/printerSettings37.bin"/><Relationship Id="rId6" Type="http://schemas.openxmlformats.org/officeDocument/2006/relationships/table" Target="../tables/table81.xml"/><Relationship Id="rId5" Type="http://schemas.openxmlformats.org/officeDocument/2006/relationships/table" Target="../tables/table80.xml"/><Relationship Id="rId4" Type="http://schemas.openxmlformats.org/officeDocument/2006/relationships/ctrlProp" Target="../ctrlProps/ctrlProp38.xml"/></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37.vml"/><Relationship Id="rId2" Type="http://schemas.openxmlformats.org/officeDocument/2006/relationships/drawing" Target="../drawings/drawing37.xml"/><Relationship Id="rId1" Type="http://schemas.openxmlformats.org/officeDocument/2006/relationships/printerSettings" Target="../printerSettings/printerSettings38.bin"/><Relationship Id="rId6" Type="http://schemas.openxmlformats.org/officeDocument/2006/relationships/table" Target="../tables/table84.xml"/><Relationship Id="rId5" Type="http://schemas.openxmlformats.org/officeDocument/2006/relationships/table" Target="../tables/table83.xml"/><Relationship Id="rId4" Type="http://schemas.openxmlformats.org/officeDocument/2006/relationships/ctrlProp" Target="../ctrlProps/ctrlProp39.xml"/></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38.vml"/><Relationship Id="rId2" Type="http://schemas.openxmlformats.org/officeDocument/2006/relationships/drawing" Target="../drawings/drawing38.xml"/><Relationship Id="rId1" Type="http://schemas.openxmlformats.org/officeDocument/2006/relationships/printerSettings" Target="../printerSettings/printerSettings39.bin"/><Relationship Id="rId4" Type="http://schemas.openxmlformats.org/officeDocument/2006/relationships/ctrlProp" Target="../ctrlProps/ctrlProp40.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table" Target="../tables/table9.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ctrlProp" Target="../ctrlProps/ctrlProp3.xml"/></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table" Target="../tables/table12.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table" Target="../tables/table11.xml"/><Relationship Id="rId5" Type="http://schemas.openxmlformats.org/officeDocument/2006/relationships/table" Target="../tables/table10.xml"/><Relationship Id="rId4" Type="http://schemas.openxmlformats.org/officeDocument/2006/relationships/ctrlProp" Target="../ctrlProps/ctrlProp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table" Target="../tables/table15.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ctrlProp" Target="../ctrlProps/ctrlProp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table" Target="../tables/table18.x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table" Target="../tables/table17.xml"/><Relationship Id="rId5" Type="http://schemas.openxmlformats.org/officeDocument/2006/relationships/table" Target="../tables/table16.xml"/><Relationship Id="rId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A5"/>
  <sheetViews>
    <sheetView tabSelected="1" view="pageBreakPreview" zoomScaleNormal="100" zoomScaleSheetLayoutView="100" workbookViewId="0">
      <selection activeCell="F6" sqref="F6"/>
    </sheetView>
  </sheetViews>
  <sheetFormatPr defaultRowHeight="18.75" x14ac:dyDescent="0.15"/>
  <cols>
    <col min="1" max="1" width="56.375" style="537" customWidth="1"/>
    <col min="2" max="16384" width="9" style="537"/>
  </cols>
  <sheetData>
    <row r="1" spans="1:1" ht="151.5" x14ac:dyDescent="0.15">
      <c r="A1" s="720" t="s">
        <v>372</v>
      </c>
    </row>
    <row r="2" spans="1:1" s="600" customFormat="1" ht="17.25" customHeight="1" x14ac:dyDescent="0.15">
      <c r="A2" s="721" t="s">
        <v>610</v>
      </c>
    </row>
    <row r="3" spans="1:1" s="600" customFormat="1" ht="17.25" customHeight="1" x14ac:dyDescent="0.15">
      <c r="A3" s="721" t="s">
        <v>622</v>
      </c>
    </row>
    <row r="4" spans="1:1" s="600" customFormat="1" ht="17.25" customHeight="1" x14ac:dyDescent="0.15">
      <c r="A4" s="721" t="s">
        <v>623</v>
      </c>
    </row>
    <row r="5" spans="1:1" x14ac:dyDescent="0.15">
      <c r="A5" s="721" t="s">
        <v>653</v>
      </c>
    </row>
  </sheetData>
  <phoneticPr fontId="2"/>
  <printOptions horizontalCentered="1" verticalCentered="1"/>
  <pageMargins left="0.70866141732283472" right="0.70866141732283472" top="0.74803149606299213" bottom="1.5354330708661419"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00B0F0"/>
    <pageSetUpPr fitToPage="1"/>
  </sheetPr>
  <dimension ref="A1:V62"/>
  <sheetViews>
    <sheetView showGridLines="0" view="pageBreakPreview" topLeftCell="C1" zoomScale="80" zoomScaleNormal="100" zoomScaleSheetLayoutView="80" workbookViewId="0">
      <selection activeCell="E9" sqref="E9"/>
    </sheetView>
  </sheetViews>
  <sheetFormatPr defaultRowHeight="18.75" x14ac:dyDescent="0.15"/>
  <cols>
    <col min="1" max="1" width="3.125" style="1" customWidth="1"/>
    <col min="2" max="2" width="52.5" style="1" customWidth="1"/>
    <col min="3" max="4" width="9.375" style="1" customWidth="1"/>
    <col min="5" max="5" width="4.125" style="1" customWidth="1"/>
    <col min="6" max="6" width="3.125" style="1" customWidth="1"/>
    <col min="7" max="7" width="43.75" style="1" customWidth="1"/>
    <col min="8" max="11" width="9.375" style="1" customWidth="1"/>
    <col min="12" max="12" width="5" style="1" customWidth="1"/>
    <col min="13" max="13" width="56.25" style="1" hidden="1" customWidth="1"/>
    <col min="14" max="14" width="7.375" style="1" hidden="1" customWidth="1"/>
    <col min="15" max="15" width="5" style="1" hidden="1" customWidth="1"/>
    <col min="16" max="16" width="6.625" style="1" customWidth="1"/>
    <col min="17" max="17" width="12.5" style="1" customWidth="1"/>
    <col min="18" max="20" width="9" style="1" customWidth="1"/>
    <col min="21" max="21" width="9" style="1"/>
    <col min="22" max="22" width="14.375" style="1" customWidth="1"/>
    <col min="23" max="16384" width="9" style="1"/>
  </cols>
  <sheetData>
    <row r="1" spans="1:19" s="3" customFormat="1" ht="19.5" x14ac:dyDescent="0.15">
      <c r="A1" s="2" t="s">
        <v>153</v>
      </c>
      <c r="B1" s="2"/>
    </row>
    <row r="2" spans="1:19" x14ac:dyDescent="0.15">
      <c r="A2" s="4"/>
      <c r="B2" s="4"/>
      <c r="N2" s="155"/>
      <c r="O2" s="32"/>
      <c r="P2" s="32"/>
      <c r="Q2" s="32"/>
    </row>
    <row r="3" spans="1:19" s="3" customFormat="1" ht="19.5" x14ac:dyDescent="0.15">
      <c r="A3" s="4" t="s">
        <v>13</v>
      </c>
      <c r="B3" s="4"/>
      <c r="F3" s="4" t="s">
        <v>154</v>
      </c>
      <c r="G3" s="4"/>
      <c r="N3" s="184"/>
      <c r="O3" s="37"/>
      <c r="P3" s="38"/>
      <c r="Q3" s="35"/>
      <c r="R3" s="1"/>
    </row>
    <row r="4" spans="1:19" x14ac:dyDescent="0.15">
      <c r="A4" s="315"/>
      <c r="B4" s="316"/>
      <c r="C4" s="310" t="s">
        <v>0</v>
      </c>
      <c r="D4" s="310" t="s">
        <v>1</v>
      </c>
      <c r="F4" s="317"/>
      <c r="G4" s="318"/>
      <c r="H4" s="310" t="s">
        <v>114</v>
      </c>
      <c r="I4" s="310" t="s">
        <v>116</v>
      </c>
      <c r="J4" s="310" t="s">
        <v>12</v>
      </c>
      <c r="K4" s="310" t="s">
        <v>1</v>
      </c>
      <c r="M4" s="54" t="s">
        <v>295</v>
      </c>
      <c r="N4" s="184"/>
      <c r="O4" s="407" t="s">
        <v>325</v>
      </c>
      <c r="P4" s="38"/>
      <c r="Q4" s="16" t="s">
        <v>362</v>
      </c>
    </row>
    <row r="5" spans="1:19" ht="18.75" customHeight="1" x14ac:dyDescent="0.15">
      <c r="A5" s="884" t="s">
        <v>120</v>
      </c>
      <c r="B5" s="885"/>
      <c r="C5" s="256">
        <f>SUM(C6:C8)</f>
        <v>2117</v>
      </c>
      <c r="D5" s="296">
        <f t="shared" ref="D5:D20" si="0">IFERROR(C5/C$21,"-")</f>
        <v>0.24155636695572799</v>
      </c>
      <c r="F5" s="881" t="s">
        <v>120</v>
      </c>
      <c r="G5" s="882"/>
      <c r="H5" s="258">
        <f t="shared" ref="H5" si="1">SUM(H6:H8)</f>
        <v>8</v>
      </c>
      <c r="I5" s="256">
        <f t="shared" ref="I5" si="2">SUM(I6:I8)</f>
        <v>79</v>
      </c>
      <c r="J5" s="256">
        <f>SUM(H5:I5)</f>
        <v>87</v>
      </c>
      <c r="K5" s="296">
        <f t="shared" ref="K5:K20" si="3">IFERROR(J5/J$21,"-")</f>
        <v>0.16698656429942418</v>
      </c>
      <c r="M5" s="54" t="s">
        <v>284</v>
      </c>
      <c r="N5" s="184"/>
      <c r="O5" s="407" t="s">
        <v>314</v>
      </c>
      <c r="P5" s="38"/>
      <c r="Q5" s="16" t="s">
        <v>363</v>
      </c>
      <c r="S5" s="37"/>
    </row>
    <row r="6" spans="1:19" ht="37.5" customHeight="1" x14ac:dyDescent="0.15">
      <c r="A6" s="249"/>
      <c r="B6" s="252" t="s">
        <v>121</v>
      </c>
      <c r="C6" s="261">
        <f>IFERROR(VLOOKUP($M4,疾患別＿1年以上[#All],2,FALSE),0)</f>
        <v>1025</v>
      </c>
      <c r="D6" s="262">
        <f t="shared" si="0"/>
        <v>0.1169557279780922</v>
      </c>
      <c r="F6" s="249"/>
      <c r="G6" s="689" t="s">
        <v>121</v>
      </c>
      <c r="H6" s="271">
        <f>IFERROR(VLOOKUP($M4,疾患別＿1年以上＿寛解[#All],2,FALSE),0)</f>
        <v>3</v>
      </c>
      <c r="I6" s="271">
        <f>IFERROR(VLOOKUP($M4,疾患別＿1年以上＿院内寛解[#All],2,FALSE),0)</f>
        <v>28</v>
      </c>
      <c r="J6" s="272">
        <f t="shared" ref="J6:J19" si="4">SUM(H6:I6)</f>
        <v>31</v>
      </c>
      <c r="K6" s="273">
        <f t="shared" si="3"/>
        <v>5.9500959692898273E-2</v>
      </c>
      <c r="M6" s="54" t="s">
        <v>285</v>
      </c>
      <c r="N6" s="184"/>
      <c r="O6" s="407" t="s">
        <v>315</v>
      </c>
      <c r="P6" s="38"/>
      <c r="Q6" s="35"/>
      <c r="S6" s="169"/>
    </row>
    <row r="7" spans="1:19" x14ac:dyDescent="0.15">
      <c r="A7" s="249"/>
      <c r="B7" s="253" t="s">
        <v>106</v>
      </c>
      <c r="C7" s="263">
        <f>IFERROR(VLOOKUP($M5,疾患別＿1年以上[#All],2,FALSE),0)</f>
        <v>175</v>
      </c>
      <c r="D7" s="264">
        <f t="shared" si="0"/>
        <v>1.9968051118210862E-2</v>
      </c>
      <c r="F7" s="249"/>
      <c r="G7" s="253" t="s">
        <v>106</v>
      </c>
      <c r="H7" s="274">
        <f>IFERROR(VLOOKUP($M5,疾患別＿1年以上＿寛解[#All],2,FALSE),0)</f>
        <v>0</v>
      </c>
      <c r="I7" s="274">
        <f>IFERROR(VLOOKUP($M5,疾患別＿1年以上＿院内寛解[#All],2,FALSE),0)</f>
        <v>1</v>
      </c>
      <c r="J7" s="275">
        <f t="shared" si="4"/>
        <v>1</v>
      </c>
      <c r="K7" s="276">
        <f t="shared" si="3"/>
        <v>1.9193857965451055E-3</v>
      </c>
      <c r="M7" s="54" t="s">
        <v>286</v>
      </c>
      <c r="N7" s="184"/>
      <c r="O7" s="407" t="s">
        <v>316</v>
      </c>
      <c r="P7" s="38"/>
      <c r="Q7" s="35"/>
      <c r="S7" s="169"/>
    </row>
    <row r="8" spans="1:19" ht="37.5" x14ac:dyDescent="0.15">
      <c r="A8" s="250"/>
      <c r="B8" s="254" t="s">
        <v>19</v>
      </c>
      <c r="C8" s="265">
        <f>IFERROR(VLOOKUP($M6,疾患別＿1年以上[#All],2,FALSE),0)</f>
        <v>917</v>
      </c>
      <c r="D8" s="266">
        <f t="shared" si="0"/>
        <v>0.10463258785942492</v>
      </c>
      <c r="F8" s="280"/>
      <c r="G8" s="690" t="s">
        <v>19</v>
      </c>
      <c r="H8" s="277">
        <f>IFERROR(VLOOKUP($M6,疾患別＿1年以上＿寛解[#All],2,FALSE),0)</f>
        <v>5</v>
      </c>
      <c r="I8" s="277">
        <f>IFERROR(VLOOKUP($M6,疾患別＿1年以上＿院内寛解[#All],2,FALSE),0)</f>
        <v>50</v>
      </c>
      <c r="J8" s="278">
        <f t="shared" si="4"/>
        <v>55</v>
      </c>
      <c r="K8" s="279">
        <f t="shared" si="3"/>
        <v>0.10556621880998081</v>
      </c>
      <c r="M8" s="54" t="s">
        <v>312</v>
      </c>
      <c r="N8" s="184"/>
      <c r="O8" s="407" t="s">
        <v>317</v>
      </c>
      <c r="P8" s="38"/>
      <c r="Q8" s="35"/>
      <c r="S8" s="7"/>
    </row>
    <row r="9" spans="1:19" ht="18.75" customHeight="1" x14ac:dyDescent="0.15">
      <c r="A9" s="879" t="s">
        <v>20</v>
      </c>
      <c r="B9" s="880"/>
      <c r="C9" s="258">
        <f>IFERROR(VLOOKUP($M7,疾患別＿1年以上[#All],2,FALSE),0)+IFERROR(VLOOKUP($M8,疾患別＿1年以上[#All],2,FALSE),0)+IFERROR(VLOOKUP($M9,疾患別＿1年以上[#All],2,FALSE),0)</f>
        <v>329</v>
      </c>
      <c r="D9" s="459">
        <f t="shared" si="0"/>
        <v>3.7539936102236424E-2</v>
      </c>
      <c r="F9" s="883" t="s">
        <v>20</v>
      </c>
      <c r="G9" s="882"/>
      <c r="H9" s="258">
        <f>IFERROR(VLOOKUP($M7,疾患別＿1年以上＿寛解[#All],2,FALSE),0)+IFERROR(VLOOKUP($M8,疾患別＿1年以上＿寛解[#All],2,FALSE),0)+IFERROR(VLOOKUP($M9,疾患別＿1年以上＿寛解[#All],2,FALSE),0)</f>
        <v>5</v>
      </c>
      <c r="I9" s="258">
        <f>IFERROR(VLOOKUP($M7,疾患別＿1年以上＿院内寛解[#All],2,FALSE),0)+IFERROR(VLOOKUP($M8,疾患別＿1年以上＿院内寛解[#All],2,FALSE),0)+IFERROR(VLOOKUP($M9,疾患別＿1年以上＿院内寛解[#All],2,FALSE),0)</f>
        <v>30</v>
      </c>
      <c r="J9" s="256">
        <f t="shared" si="4"/>
        <v>35</v>
      </c>
      <c r="K9" s="458">
        <f t="shared" si="3"/>
        <v>6.71785028790787E-2</v>
      </c>
      <c r="M9" s="54" t="s">
        <v>313</v>
      </c>
      <c r="N9" s="184"/>
      <c r="O9" s="407" t="s">
        <v>318</v>
      </c>
      <c r="P9" s="38"/>
      <c r="Q9" s="35"/>
      <c r="S9" s="169"/>
    </row>
    <row r="10" spans="1:19" ht="18.75" customHeight="1" x14ac:dyDescent="0.15">
      <c r="A10" s="879" t="s">
        <v>272</v>
      </c>
      <c r="B10" s="880"/>
      <c r="C10" s="258">
        <f>IFERROR(VLOOKUP($M10,疾患別＿1年以上[#All],2,FALSE),0)</f>
        <v>5271</v>
      </c>
      <c r="D10" s="459">
        <f t="shared" si="0"/>
        <v>0.6014376996805112</v>
      </c>
      <c r="F10" s="883" t="s">
        <v>272</v>
      </c>
      <c r="G10" s="882"/>
      <c r="H10" s="258">
        <f>IFERROR(VLOOKUP($M10,疾患別＿1年以上＿寛解[#All],2,FALSE),0)</f>
        <v>39</v>
      </c>
      <c r="I10" s="258">
        <f>IFERROR(VLOOKUP($M10,疾患別＿1年以上＿院内寛解[#All],2,FALSE),0)</f>
        <v>270</v>
      </c>
      <c r="J10" s="256">
        <f t="shared" si="4"/>
        <v>309</v>
      </c>
      <c r="K10" s="458">
        <f t="shared" si="3"/>
        <v>0.59309021113243765</v>
      </c>
      <c r="M10" s="54" t="s">
        <v>287</v>
      </c>
      <c r="N10" s="184"/>
      <c r="O10" s="407" t="s">
        <v>319</v>
      </c>
      <c r="P10" s="38"/>
      <c r="Q10" s="35"/>
      <c r="S10" s="169"/>
    </row>
    <row r="11" spans="1:19" ht="18.75" customHeight="1" x14ac:dyDescent="0.15">
      <c r="A11" s="879" t="s">
        <v>22</v>
      </c>
      <c r="B11" s="880"/>
      <c r="C11" s="258">
        <f>IFERROR(VLOOKUP($M11,疾患別＿1年以上[#All],2,FALSE),0)+IFERROR(VLOOKUP($M12,疾患別＿1年以上[#All],2,FALSE),0)</f>
        <v>625</v>
      </c>
      <c r="D11" s="459">
        <f t="shared" si="0"/>
        <v>7.1314468279324514E-2</v>
      </c>
      <c r="F11" s="883" t="s">
        <v>22</v>
      </c>
      <c r="G11" s="882"/>
      <c r="H11" s="258">
        <f>IFERROR(VLOOKUP($M11,疾患別＿1年以上＿寛解[#All],2,FALSE),0)+IFERROR(VLOOKUP($M12,疾患別＿1年以上＿寛解[#All],2,FALSE),0)</f>
        <v>10</v>
      </c>
      <c r="I11" s="258">
        <f>IFERROR(VLOOKUP($M11,疾患別＿1年以上＿院内寛解[#All],2,FALSE),0)+IFERROR(VLOOKUP($M12,疾患別＿1年以上＿院内寛解[#All],2,FALSE),0)</f>
        <v>57</v>
      </c>
      <c r="J11" s="256">
        <f t="shared" si="4"/>
        <v>67</v>
      </c>
      <c r="K11" s="458">
        <f t="shared" si="3"/>
        <v>0.12859884836852206</v>
      </c>
      <c r="M11" s="54" t="s">
        <v>288</v>
      </c>
      <c r="N11" s="184"/>
      <c r="O11" s="407" t="s">
        <v>320</v>
      </c>
      <c r="P11" s="38"/>
      <c r="Q11" s="35"/>
      <c r="S11" s="169"/>
    </row>
    <row r="12" spans="1:19" ht="18.75" customHeight="1" x14ac:dyDescent="0.15">
      <c r="A12" s="879" t="s">
        <v>24</v>
      </c>
      <c r="B12" s="880"/>
      <c r="C12" s="258">
        <f>IFERROR(VLOOKUP($M13,疾患別＿1年以上[#All],2,FALSE),0)</f>
        <v>74</v>
      </c>
      <c r="D12" s="459">
        <f t="shared" si="0"/>
        <v>8.4436330442720225E-3</v>
      </c>
      <c r="F12" s="883" t="s">
        <v>24</v>
      </c>
      <c r="G12" s="882"/>
      <c r="H12" s="258">
        <f>IFERROR(VLOOKUP($M13,疾患別＿1年以上＿寛解[#All],2,FALSE),0)</f>
        <v>0</v>
      </c>
      <c r="I12" s="258">
        <f>IFERROR(VLOOKUP($M13,疾患別＿1年以上＿院内寛解[#All],2,FALSE),0)</f>
        <v>8</v>
      </c>
      <c r="J12" s="256">
        <f t="shared" si="4"/>
        <v>8</v>
      </c>
      <c r="K12" s="458">
        <f t="shared" si="3"/>
        <v>1.5355086372360844E-2</v>
      </c>
      <c r="M12" s="54" t="s">
        <v>289</v>
      </c>
      <c r="N12" s="185"/>
      <c r="O12" s="407" t="s">
        <v>321</v>
      </c>
      <c r="P12" s="38"/>
      <c r="Q12" s="35"/>
      <c r="S12" s="169"/>
    </row>
    <row r="13" spans="1:19" ht="18.75" customHeight="1" x14ac:dyDescent="0.15">
      <c r="A13" s="879" t="s">
        <v>25</v>
      </c>
      <c r="B13" s="880"/>
      <c r="C13" s="258">
        <f>IFERROR(VLOOKUP($M14,疾患別＿1年以上[#All],2,FALSE),0)</f>
        <v>5</v>
      </c>
      <c r="D13" s="459">
        <f t="shared" si="0"/>
        <v>5.705157462345961E-4</v>
      </c>
      <c r="F13" s="883" t="s">
        <v>25</v>
      </c>
      <c r="G13" s="882"/>
      <c r="H13" s="258">
        <f>IFERROR(VLOOKUP($M14,疾患別＿1年以上＿寛解[#All],2,FALSE),0)</f>
        <v>0</v>
      </c>
      <c r="I13" s="258">
        <f>IFERROR(VLOOKUP($M14,疾患別＿1年以上＿院内寛解[#All],2,FALSE),0)</f>
        <v>0</v>
      </c>
      <c r="J13" s="256">
        <f t="shared" si="4"/>
        <v>0</v>
      </c>
      <c r="K13" s="458">
        <f t="shared" si="3"/>
        <v>0</v>
      </c>
      <c r="M13" s="54" t="s">
        <v>290</v>
      </c>
      <c r="N13" s="185"/>
      <c r="O13" s="407" t="s">
        <v>322</v>
      </c>
      <c r="P13" s="38"/>
      <c r="Q13" s="35"/>
      <c r="S13" s="169"/>
    </row>
    <row r="14" spans="1:19" ht="18.75" customHeight="1" x14ac:dyDescent="0.15">
      <c r="A14" s="879" t="s">
        <v>256</v>
      </c>
      <c r="B14" s="880"/>
      <c r="C14" s="258">
        <f>IFERROR(VLOOKUP($M15,疾患別＿1年以上[#All],2,FALSE),0)</f>
        <v>18</v>
      </c>
      <c r="D14" s="459">
        <f t="shared" si="0"/>
        <v>2.0538566864445459E-3</v>
      </c>
      <c r="F14" s="883" t="s">
        <v>256</v>
      </c>
      <c r="G14" s="882"/>
      <c r="H14" s="258">
        <f>IFERROR(VLOOKUP($M15,疾患別＿1年以上＿寛解[#All],2,FALSE),0)</f>
        <v>0</v>
      </c>
      <c r="I14" s="258">
        <f>IFERROR(VLOOKUP($M15,疾患別＿1年以上＿院内寛解[#All],2,FALSE),0)</f>
        <v>3</v>
      </c>
      <c r="J14" s="256">
        <f t="shared" si="4"/>
        <v>3</v>
      </c>
      <c r="K14" s="458">
        <f t="shared" si="3"/>
        <v>5.7581573896353169E-3</v>
      </c>
      <c r="M14" s="54" t="s">
        <v>291</v>
      </c>
      <c r="N14" s="185"/>
      <c r="O14" s="407" t="s">
        <v>323</v>
      </c>
      <c r="P14" s="38"/>
      <c r="Q14" s="35"/>
      <c r="S14" s="169"/>
    </row>
    <row r="15" spans="1:19" ht="18.75" customHeight="1" x14ac:dyDescent="0.15">
      <c r="A15" s="879" t="s">
        <v>257</v>
      </c>
      <c r="B15" s="880"/>
      <c r="C15" s="258">
        <f>IFERROR(VLOOKUP($M16,疾患別＿1年以上[#All],2,FALSE),0)</f>
        <v>152</v>
      </c>
      <c r="D15" s="459">
        <f t="shared" si="0"/>
        <v>1.7343678685531719E-2</v>
      </c>
      <c r="F15" s="883" t="s">
        <v>257</v>
      </c>
      <c r="G15" s="882"/>
      <c r="H15" s="258">
        <f>IFERROR(VLOOKUP($M16,疾患別＿1年以上＿寛解[#All],2,FALSE),0)</f>
        <v>1</v>
      </c>
      <c r="I15" s="258">
        <f>IFERROR(VLOOKUP($M16,疾患別＿1年以上＿院内寛解[#All],2,FALSE),0)</f>
        <v>5</v>
      </c>
      <c r="J15" s="256">
        <f t="shared" si="4"/>
        <v>6</v>
      </c>
      <c r="K15" s="458">
        <f t="shared" si="3"/>
        <v>1.1516314779270634E-2</v>
      </c>
      <c r="M15" s="54" t="s">
        <v>296</v>
      </c>
      <c r="N15" s="184"/>
      <c r="O15" s="407" t="s">
        <v>324</v>
      </c>
      <c r="P15" s="38"/>
      <c r="Q15" s="35"/>
      <c r="S15" s="170"/>
    </row>
    <row r="16" spans="1:19" ht="18.75" customHeight="1" x14ac:dyDescent="0.15">
      <c r="A16" s="879" t="s">
        <v>23</v>
      </c>
      <c r="B16" s="880"/>
      <c r="C16" s="258">
        <f>IFERROR(VLOOKUP($M17,疾患別＿1年以上[#All],2,FALSE),0)</f>
        <v>47</v>
      </c>
      <c r="D16" s="459">
        <f t="shared" si="0"/>
        <v>5.3628480146052033E-3</v>
      </c>
      <c r="E16" s="139"/>
      <c r="F16" s="883" t="s">
        <v>23</v>
      </c>
      <c r="G16" s="882"/>
      <c r="H16" s="258">
        <f>IFERROR(VLOOKUP($M17,疾患別＿1年以上＿寛解[#All],2,FALSE),0)</f>
        <v>0</v>
      </c>
      <c r="I16" s="258">
        <f>IFERROR(VLOOKUP($M17,疾患別＿1年以上＿院内寛解[#All],2,FALSE),0)</f>
        <v>3</v>
      </c>
      <c r="J16" s="256">
        <f t="shared" si="4"/>
        <v>3</v>
      </c>
      <c r="K16" s="458">
        <f t="shared" si="3"/>
        <v>5.7581573896353169E-3</v>
      </c>
      <c r="M16" s="54" t="s">
        <v>292</v>
      </c>
      <c r="N16" s="186"/>
      <c r="O16" s="37"/>
      <c r="P16" s="38"/>
      <c r="Q16" s="35"/>
      <c r="S16" s="170"/>
    </row>
    <row r="17" spans="1:22" ht="18.75" customHeight="1" x14ac:dyDescent="0.15">
      <c r="A17" s="879" t="s">
        <v>258</v>
      </c>
      <c r="B17" s="889"/>
      <c r="C17" s="258">
        <f>IFERROR(VLOOKUP($M18,疾患別＿1年以上[#All],2,FALSE),0)</f>
        <v>9</v>
      </c>
      <c r="D17" s="459">
        <f t="shared" si="0"/>
        <v>1.026928343222273E-3</v>
      </c>
      <c r="E17" s="38"/>
      <c r="F17" s="883" t="s">
        <v>258</v>
      </c>
      <c r="G17" s="888"/>
      <c r="H17" s="258">
        <f>IFERROR(VLOOKUP($M18,疾患別＿1年以上＿寛解[#All],2,FALSE),0)</f>
        <v>0</v>
      </c>
      <c r="I17" s="258">
        <f>IFERROR(VLOOKUP($M18,疾患別＿1年以上＿院内寛解[#All],2,FALSE),0)</f>
        <v>0</v>
      </c>
      <c r="J17" s="256">
        <f t="shared" si="4"/>
        <v>0</v>
      </c>
      <c r="K17" s="458">
        <f t="shared" si="3"/>
        <v>0</v>
      </c>
      <c r="M17" s="54" t="s">
        <v>293</v>
      </c>
      <c r="N17" s="155"/>
      <c r="O17" s="37"/>
      <c r="P17" s="38"/>
      <c r="Q17" s="35"/>
      <c r="S17" s="170"/>
    </row>
    <row r="18" spans="1:22" ht="18.75" customHeight="1" x14ac:dyDescent="0.15">
      <c r="A18" s="879" t="s">
        <v>123</v>
      </c>
      <c r="B18" s="880"/>
      <c r="C18" s="258">
        <f>IFERROR(VLOOKUP($M19,疾患別＿1年以上[#All],2,FALSE),0)</f>
        <v>36</v>
      </c>
      <c r="D18" s="459">
        <f t="shared" si="0"/>
        <v>4.1077133728890918E-3</v>
      </c>
      <c r="E18" s="139"/>
      <c r="F18" s="883" t="s">
        <v>123</v>
      </c>
      <c r="G18" s="882"/>
      <c r="H18" s="258">
        <f>IFERROR(VLOOKUP($M19,疾患別＿1年以上＿寛解[#All],2,FALSE),0)</f>
        <v>0</v>
      </c>
      <c r="I18" s="258">
        <f>IFERROR(VLOOKUP($M19,疾患別＿1年以上＿院内寛解[#All],2,FALSE),0)</f>
        <v>2</v>
      </c>
      <c r="J18" s="256">
        <f t="shared" si="4"/>
        <v>2</v>
      </c>
      <c r="K18" s="458">
        <f t="shared" si="3"/>
        <v>3.838771593090211E-3</v>
      </c>
      <c r="M18" s="54" t="s">
        <v>297</v>
      </c>
      <c r="S18" s="169"/>
    </row>
    <row r="19" spans="1:22" x14ac:dyDescent="0.15">
      <c r="A19" s="877" t="s">
        <v>18</v>
      </c>
      <c r="B19" s="878"/>
      <c r="C19" s="258">
        <f>IFERROR(VLOOKUP($M21,疾患別＿1年以上[#All],2,FALSE),0)</f>
        <v>81</v>
      </c>
      <c r="D19" s="459">
        <f t="shared" si="0"/>
        <v>9.242355089000457E-3</v>
      </c>
      <c r="E19" s="38"/>
      <c r="F19" s="886" t="s">
        <v>18</v>
      </c>
      <c r="G19" s="887"/>
      <c r="H19" s="258">
        <f>IFERROR(VLOOKUP($M21,疾患別＿1年以上＿寛解[#All],2,FALSE),0)</f>
        <v>0</v>
      </c>
      <c r="I19" s="258">
        <f>IFERROR(VLOOKUP($M21,疾患別＿1年以上＿院内寛解[#All],2,FALSE),0)</f>
        <v>1</v>
      </c>
      <c r="J19" s="256">
        <f t="shared" si="4"/>
        <v>1</v>
      </c>
      <c r="K19" s="458">
        <f t="shared" si="3"/>
        <v>1.9193857965451055E-3</v>
      </c>
      <c r="M19" s="54" t="s">
        <v>294</v>
      </c>
      <c r="S19" s="7"/>
    </row>
    <row r="20" spans="1:22" ht="18.75" customHeight="1" x14ac:dyDescent="0.15">
      <c r="A20" s="877" t="s">
        <v>376</v>
      </c>
      <c r="B20" s="878"/>
      <c r="C20" s="258">
        <f>IFERROR(VLOOKUP($M22,疾患別＿1年以上[#All],2,FALSE),0)</f>
        <v>0</v>
      </c>
      <c r="D20" s="459">
        <f t="shared" si="0"/>
        <v>0</v>
      </c>
      <c r="E20" s="38"/>
      <c r="F20" s="877" t="s">
        <v>376</v>
      </c>
      <c r="G20" s="878"/>
      <c r="H20" s="258">
        <f>IFERROR(VLOOKUP($M22,疾患別＿1年以上＿寛解[#All],2,FALSE),0)</f>
        <v>0</v>
      </c>
      <c r="I20" s="258">
        <f>IFERROR(VLOOKUP($M22,疾患別＿1年以上＿院内寛解[#All],2,FALSE),0)</f>
        <v>0</v>
      </c>
      <c r="J20" s="256">
        <f t="shared" ref="J20" si="5">SUM(H20:I20)</f>
        <v>0</v>
      </c>
      <c r="K20" s="458">
        <f t="shared" si="3"/>
        <v>0</v>
      </c>
      <c r="M20" s="54" t="s">
        <v>18</v>
      </c>
    </row>
    <row r="21" spans="1:22" x14ac:dyDescent="0.15">
      <c r="A21" s="319" t="s">
        <v>11</v>
      </c>
      <c r="B21" s="320"/>
      <c r="C21" s="313">
        <f>SUM(C6:C20)</f>
        <v>8764</v>
      </c>
      <c r="D21" s="314">
        <f>SUM(D6:D20)</f>
        <v>1</v>
      </c>
      <c r="F21" s="321" t="s">
        <v>11</v>
      </c>
      <c r="G21" s="322"/>
      <c r="H21" s="313">
        <f>SUM(H6:H20)</f>
        <v>63</v>
      </c>
      <c r="I21" s="313">
        <f>SUM(I6:I20)</f>
        <v>458</v>
      </c>
      <c r="J21" s="313">
        <f>SUM(J6:J20)</f>
        <v>521</v>
      </c>
      <c r="K21" s="314">
        <f>SUM(K6:K20)</f>
        <v>1.0000000000000002</v>
      </c>
      <c r="M21" s="54" t="s">
        <v>18</v>
      </c>
      <c r="S21" s="37"/>
    </row>
    <row r="22" spans="1:22" x14ac:dyDescent="0.15">
      <c r="A22" s="37"/>
      <c r="B22" s="55" t="s">
        <v>63</v>
      </c>
      <c r="C22" s="44"/>
      <c r="N22" s="155"/>
      <c r="O22" s="32"/>
      <c r="P22" s="32"/>
      <c r="Q22" s="32"/>
      <c r="T22" s="187"/>
      <c r="U22" s="187"/>
      <c r="V22" s="187"/>
    </row>
    <row r="23" spans="1:22" s="3" customFormat="1" ht="20.25" thickBot="1" x14ac:dyDescent="0.2">
      <c r="B23" s="484" t="s">
        <v>283</v>
      </c>
      <c r="C23" s="480" t="s">
        <v>0</v>
      </c>
      <c r="D23" s="1"/>
      <c r="E23" s="1"/>
      <c r="F23" s="1"/>
      <c r="G23" s="484" t="s">
        <v>283</v>
      </c>
      <c r="H23" s="480" t="s">
        <v>28</v>
      </c>
      <c r="N23" s="184"/>
      <c r="O23" s="37"/>
      <c r="P23" s="38"/>
      <c r="Q23" s="35"/>
      <c r="R23" s="1"/>
      <c r="T23" s="37"/>
      <c r="U23" s="38"/>
      <c r="V23" s="35"/>
    </row>
    <row r="24" spans="1:22" ht="18.75" customHeight="1" thickTop="1" thickBot="1" x14ac:dyDescent="0.2">
      <c r="A24" s="379"/>
      <c r="B24" s="419" t="s">
        <v>373</v>
      </c>
      <c r="C24" s="34" t="s">
        <v>616</v>
      </c>
      <c r="D24" s="3"/>
      <c r="E24" s="3"/>
      <c r="F24" s="391"/>
      <c r="G24" s="419" t="s">
        <v>373</v>
      </c>
      <c r="H24" s="34" t="s">
        <v>616</v>
      </c>
      <c r="I24" s="323"/>
      <c r="J24" s="397"/>
      <c r="M24" s="184"/>
      <c r="N24" s="37"/>
      <c r="O24" s="38"/>
      <c r="P24" s="35"/>
    </row>
    <row r="25" spans="1:22" ht="18.75" customHeight="1" thickTop="1" x14ac:dyDescent="0.15">
      <c r="A25" s="393"/>
      <c r="B25" s="42" t="s">
        <v>295</v>
      </c>
      <c r="C25" s="158">
        <v>1025</v>
      </c>
      <c r="F25" s="392"/>
      <c r="G25" s="42" t="s">
        <v>295</v>
      </c>
      <c r="H25" s="158">
        <v>3</v>
      </c>
      <c r="I25" s="398"/>
      <c r="J25" s="397"/>
      <c r="M25" s="184"/>
      <c r="N25" s="37"/>
      <c r="O25" s="38"/>
      <c r="P25" s="35"/>
    </row>
    <row r="26" spans="1:22" ht="18.75" customHeight="1" x14ac:dyDescent="0.15">
      <c r="A26" s="393"/>
      <c r="B26" s="42" t="s">
        <v>284</v>
      </c>
      <c r="C26" s="158">
        <v>175</v>
      </c>
      <c r="F26" s="393"/>
      <c r="G26" s="420" t="s">
        <v>284</v>
      </c>
      <c r="H26" s="389">
        <v>0</v>
      </c>
      <c r="I26" s="398"/>
      <c r="J26" s="397"/>
      <c r="M26" s="184"/>
      <c r="N26" s="37"/>
      <c r="O26" s="38"/>
      <c r="P26" s="35"/>
    </row>
    <row r="27" spans="1:22" ht="18.75" customHeight="1" x14ac:dyDescent="0.15">
      <c r="A27" s="393"/>
      <c r="B27" s="42" t="s">
        <v>285</v>
      </c>
      <c r="C27" s="158">
        <v>917</v>
      </c>
      <c r="F27" s="392"/>
      <c r="G27" s="386" t="s">
        <v>285</v>
      </c>
      <c r="H27" s="387">
        <v>5</v>
      </c>
      <c r="I27" s="398"/>
      <c r="J27" s="397"/>
      <c r="M27" s="184"/>
      <c r="N27" s="37"/>
      <c r="O27" s="38"/>
      <c r="P27" s="35"/>
    </row>
    <row r="28" spans="1:22" ht="18.75" customHeight="1" x14ac:dyDescent="0.15">
      <c r="A28" s="393"/>
      <c r="B28" s="42" t="s">
        <v>286</v>
      </c>
      <c r="C28" s="158">
        <v>274</v>
      </c>
      <c r="F28" s="393"/>
      <c r="G28" s="388" t="s">
        <v>286</v>
      </c>
      <c r="H28" s="389">
        <v>5</v>
      </c>
      <c r="I28" s="398"/>
      <c r="J28" s="397"/>
      <c r="M28" s="184"/>
      <c r="N28" s="37"/>
      <c r="O28" s="38"/>
      <c r="P28" s="35"/>
    </row>
    <row r="29" spans="1:22" ht="18.75" customHeight="1" x14ac:dyDescent="0.15">
      <c r="A29" s="393"/>
      <c r="B29" s="86" t="s">
        <v>200</v>
      </c>
      <c r="C29" s="158">
        <v>20</v>
      </c>
      <c r="F29" s="392"/>
      <c r="G29" s="386" t="s">
        <v>200</v>
      </c>
      <c r="H29" s="387">
        <v>0</v>
      </c>
      <c r="I29" s="398"/>
      <c r="J29" s="397"/>
      <c r="M29" s="184"/>
      <c r="N29" s="37"/>
      <c r="O29" s="38"/>
      <c r="P29" s="35"/>
    </row>
    <row r="30" spans="1:22" ht="18.75" customHeight="1" x14ac:dyDescent="0.15">
      <c r="A30" s="393"/>
      <c r="B30" s="42" t="s">
        <v>201</v>
      </c>
      <c r="C30" s="158">
        <v>35</v>
      </c>
      <c r="F30" s="393"/>
      <c r="G30" s="388" t="s">
        <v>201</v>
      </c>
      <c r="H30" s="389">
        <v>0</v>
      </c>
      <c r="I30" s="398"/>
      <c r="J30" s="397"/>
      <c r="M30" s="184"/>
      <c r="N30" s="37"/>
      <c r="O30" s="38"/>
      <c r="P30" s="35"/>
    </row>
    <row r="31" spans="1:22" ht="18.75" customHeight="1" x14ac:dyDescent="0.15">
      <c r="A31" s="393"/>
      <c r="B31" s="42" t="s">
        <v>287</v>
      </c>
      <c r="C31" s="158">
        <v>5271</v>
      </c>
      <c r="F31" s="392"/>
      <c r="G31" s="386" t="s">
        <v>287</v>
      </c>
      <c r="H31" s="387">
        <v>39</v>
      </c>
      <c r="I31" s="398"/>
      <c r="J31" s="397"/>
      <c r="M31" s="184"/>
      <c r="N31" s="37"/>
      <c r="O31" s="38"/>
      <c r="P31" s="35"/>
    </row>
    <row r="32" spans="1:22" ht="18.75" customHeight="1" x14ac:dyDescent="0.15">
      <c r="A32" s="393"/>
      <c r="B32" s="42" t="s">
        <v>288</v>
      </c>
      <c r="C32" s="158">
        <v>351</v>
      </c>
      <c r="F32" s="393"/>
      <c r="G32" s="388" t="s">
        <v>288</v>
      </c>
      <c r="H32" s="389">
        <v>3</v>
      </c>
      <c r="I32" s="398"/>
      <c r="J32" s="397"/>
      <c r="M32" s="185"/>
      <c r="N32" s="37"/>
      <c r="O32" s="38"/>
      <c r="P32" s="35"/>
    </row>
    <row r="33" spans="1:22" ht="18.75" customHeight="1" x14ac:dyDescent="0.15">
      <c r="A33" s="393"/>
      <c r="B33" s="42" t="s">
        <v>289</v>
      </c>
      <c r="C33" s="158">
        <v>274</v>
      </c>
      <c r="F33" s="392"/>
      <c r="G33" s="386" t="s">
        <v>289</v>
      </c>
      <c r="H33" s="387">
        <v>7</v>
      </c>
      <c r="I33" s="398"/>
      <c r="J33" s="397"/>
      <c r="M33" s="185"/>
      <c r="N33" s="37"/>
      <c r="O33" s="38"/>
      <c r="P33" s="35"/>
    </row>
    <row r="34" spans="1:22" ht="18.75" customHeight="1" x14ac:dyDescent="0.15">
      <c r="A34" s="393"/>
      <c r="B34" s="42" t="s">
        <v>290</v>
      </c>
      <c r="C34" s="158">
        <v>74</v>
      </c>
      <c r="F34" s="393"/>
      <c r="G34" s="388" t="s">
        <v>290</v>
      </c>
      <c r="H34" s="389">
        <v>0</v>
      </c>
      <c r="I34" s="398"/>
      <c r="J34" s="397"/>
      <c r="M34" s="185"/>
      <c r="N34" s="37"/>
      <c r="O34" s="38"/>
      <c r="P34" s="35"/>
    </row>
    <row r="35" spans="1:22" ht="18.75" customHeight="1" x14ac:dyDescent="0.15">
      <c r="A35" s="393"/>
      <c r="B35" s="42" t="s">
        <v>291</v>
      </c>
      <c r="C35" s="158">
        <v>5</v>
      </c>
      <c r="F35" s="392"/>
      <c r="G35" s="386" t="s">
        <v>291</v>
      </c>
      <c r="H35" s="387">
        <v>0</v>
      </c>
      <c r="I35" s="398"/>
      <c r="J35" s="397"/>
      <c r="M35" s="184"/>
      <c r="N35" s="37"/>
      <c r="O35" s="38"/>
      <c r="P35" s="35"/>
    </row>
    <row r="36" spans="1:22" ht="18.75" customHeight="1" x14ac:dyDescent="0.15">
      <c r="A36" s="393"/>
      <c r="B36" s="42" t="s">
        <v>296</v>
      </c>
      <c r="C36" s="158">
        <v>18</v>
      </c>
      <c r="F36" s="393"/>
      <c r="G36" s="388" t="s">
        <v>296</v>
      </c>
      <c r="H36" s="389">
        <v>0</v>
      </c>
      <c r="I36" s="398"/>
      <c r="J36" s="397"/>
      <c r="M36" s="186"/>
      <c r="N36" s="37"/>
      <c r="O36" s="38"/>
      <c r="P36" s="35"/>
    </row>
    <row r="37" spans="1:22" ht="18.75" customHeight="1" x14ac:dyDescent="0.15">
      <c r="A37" s="393"/>
      <c r="B37" s="42" t="s">
        <v>292</v>
      </c>
      <c r="C37" s="158">
        <v>152</v>
      </c>
      <c r="F37" s="392"/>
      <c r="G37" s="386" t="s">
        <v>292</v>
      </c>
      <c r="H37" s="387">
        <v>1</v>
      </c>
      <c r="I37" s="398"/>
      <c r="J37" s="397"/>
      <c r="M37" s="155"/>
      <c r="N37" s="37"/>
      <c r="O37" s="38"/>
      <c r="P37" s="35"/>
    </row>
    <row r="38" spans="1:22" ht="18.75" customHeight="1" x14ac:dyDescent="0.15">
      <c r="A38" s="393"/>
      <c r="B38" s="42" t="s">
        <v>293</v>
      </c>
      <c r="C38" s="158">
        <v>47</v>
      </c>
      <c r="F38" s="393"/>
      <c r="G38" s="388" t="s">
        <v>293</v>
      </c>
      <c r="H38" s="389">
        <v>0</v>
      </c>
      <c r="I38" s="398"/>
      <c r="J38" s="397"/>
    </row>
    <row r="39" spans="1:22" ht="18.75" customHeight="1" x14ac:dyDescent="0.15">
      <c r="A39" s="393"/>
      <c r="B39" s="86" t="s">
        <v>297</v>
      </c>
      <c r="C39" s="158">
        <v>9</v>
      </c>
      <c r="F39" s="392"/>
      <c r="G39" s="386" t="s">
        <v>297</v>
      </c>
      <c r="H39" s="387">
        <v>0</v>
      </c>
      <c r="I39" s="398"/>
      <c r="J39" s="397"/>
    </row>
    <row r="40" spans="1:22" ht="18.75" customHeight="1" x14ac:dyDescent="0.15">
      <c r="A40" s="393"/>
      <c r="B40" s="42" t="s">
        <v>18</v>
      </c>
      <c r="C40" s="158">
        <v>81</v>
      </c>
      <c r="F40" s="393"/>
      <c r="G40" s="390" t="s">
        <v>18</v>
      </c>
      <c r="H40" s="389">
        <v>0</v>
      </c>
      <c r="I40" s="398"/>
      <c r="J40" s="397"/>
    </row>
    <row r="41" spans="1:22" ht="18.75" customHeight="1" x14ac:dyDescent="0.15">
      <c r="A41" s="393"/>
      <c r="B41" s="42" t="s">
        <v>294</v>
      </c>
      <c r="C41" s="158">
        <v>36</v>
      </c>
      <c r="F41" s="392"/>
      <c r="G41" s="385" t="s">
        <v>294</v>
      </c>
      <c r="H41" s="384">
        <v>0</v>
      </c>
      <c r="I41" s="398"/>
      <c r="J41" s="397"/>
    </row>
    <row r="42" spans="1:22" ht="18.75" customHeight="1" x14ac:dyDescent="0.15">
      <c r="A42" s="393"/>
      <c r="B42" s="42" t="s">
        <v>617</v>
      </c>
      <c r="C42" s="158">
        <v>0</v>
      </c>
      <c r="F42" s="392"/>
      <c r="G42" s="403" t="s">
        <v>617</v>
      </c>
      <c r="H42" s="387">
        <v>0</v>
      </c>
      <c r="I42" s="398"/>
      <c r="J42" s="397"/>
    </row>
    <row r="43" spans="1:22" ht="18.75" customHeight="1" thickBot="1" x14ac:dyDescent="0.2">
      <c r="A43" s="21"/>
      <c r="G43" s="484" t="s">
        <v>283</v>
      </c>
      <c r="H43" s="480" t="s">
        <v>364</v>
      </c>
      <c r="I43" s="21"/>
      <c r="J43" s="21"/>
    </row>
    <row r="44" spans="1:22" ht="18.75" customHeight="1" thickTop="1" thickBot="1" x14ac:dyDescent="0.2">
      <c r="A44" s="21"/>
      <c r="G44" s="419" t="s">
        <v>373</v>
      </c>
      <c r="H44" s="34" t="s">
        <v>616</v>
      </c>
      <c r="I44" s="21"/>
      <c r="J44" s="21"/>
    </row>
    <row r="45" spans="1:22" ht="18.75" customHeight="1" thickTop="1" x14ac:dyDescent="0.15">
      <c r="A45" s="21"/>
      <c r="G45" s="420" t="s">
        <v>295</v>
      </c>
      <c r="H45" s="389">
        <v>28</v>
      </c>
      <c r="I45" s="21"/>
      <c r="J45" s="21"/>
      <c r="N45" s="184"/>
      <c r="O45" s="37"/>
      <c r="P45" s="38"/>
      <c r="Q45" s="35"/>
      <c r="T45" s="37"/>
      <c r="U45" s="38"/>
      <c r="V45" s="35"/>
    </row>
    <row r="46" spans="1:22" ht="18.75" customHeight="1" x14ac:dyDescent="0.15">
      <c r="A46" s="21"/>
      <c r="G46" s="420" t="s">
        <v>284</v>
      </c>
      <c r="H46" s="389">
        <v>1</v>
      </c>
      <c r="I46" s="21"/>
      <c r="J46" s="21"/>
      <c r="N46" s="184"/>
      <c r="O46" s="37"/>
      <c r="P46" s="38"/>
      <c r="Q46" s="35"/>
      <c r="T46" s="37"/>
      <c r="U46" s="38"/>
      <c r="V46" s="35"/>
    </row>
    <row r="47" spans="1:22" ht="18.75" customHeight="1" x14ac:dyDescent="0.15">
      <c r="A47" s="21"/>
      <c r="G47" s="420" t="s">
        <v>285</v>
      </c>
      <c r="H47" s="389">
        <v>50</v>
      </c>
      <c r="I47" s="21"/>
      <c r="J47" s="21"/>
      <c r="N47" s="184"/>
      <c r="O47" s="37"/>
      <c r="P47" s="38"/>
      <c r="Q47" s="35"/>
      <c r="T47" s="37"/>
      <c r="U47" s="38"/>
      <c r="V47" s="35"/>
    </row>
    <row r="48" spans="1:22" ht="18.75" customHeight="1" x14ac:dyDescent="0.15">
      <c r="A48" s="21"/>
      <c r="G48" s="420" t="s">
        <v>286</v>
      </c>
      <c r="H48" s="389">
        <v>28</v>
      </c>
      <c r="I48" s="21"/>
      <c r="J48" s="21"/>
      <c r="N48" s="184"/>
      <c r="O48" s="37"/>
      <c r="P48" s="38"/>
      <c r="Q48" s="35"/>
      <c r="T48" s="37"/>
      <c r="U48" s="38"/>
      <c r="V48" s="35"/>
    </row>
    <row r="49" spans="1:22" ht="18.75" customHeight="1" x14ac:dyDescent="0.15">
      <c r="A49" s="21"/>
      <c r="G49" s="420" t="s">
        <v>200</v>
      </c>
      <c r="H49" s="389">
        <v>0</v>
      </c>
      <c r="I49" s="21"/>
      <c r="J49" s="21"/>
      <c r="N49" s="184"/>
      <c r="O49" s="37"/>
      <c r="P49" s="38"/>
      <c r="Q49" s="35"/>
      <c r="T49" s="37"/>
      <c r="U49" s="38"/>
      <c r="V49" s="35"/>
    </row>
    <row r="50" spans="1:22" ht="18.75" customHeight="1" x14ac:dyDescent="0.15">
      <c r="A50" s="21"/>
      <c r="G50" s="420" t="s">
        <v>201</v>
      </c>
      <c r="H50" s="389">
        <v>2</v>
      </c>
      <c r="I50" s="21"/>
      <c r="J50" s="21"/>
      <c r="N50" s="184"/>
      <c r="O50" s="37"/>
      <c r="P50" s="38"/>
      <c r="Q50" s="35"/>
      <c r="T50" s="37"/>
      <c r="U50" s="38"/>
      <c r="V50" s="35"/>
    </row>
    <row r="51" spans="1:22" ht="18.75" customHeight="1" x14ac:dyDescent="0.15">
      <c r="A51" s="21"/>
      <c r="G51" s="420" t="s">
        <v>287</v>
      </c>
      <c r="H51" s="389">
        <v>270</v>
      </c>
      <c r="I51" s="21"/>
      <c r="J51" s="21"/>
      <c r="N51" s="185"/>
      <c r="O51" s="37"/>
      <c r="P51" s="38"/>
      <c r="Q51" s="35"/>
      <c r="T51" s="37"/>
      <c r="U51" s="38"/>
      <c r="V51" s="35"/>
    </row>
    <row r="52" spans="1:22" ht="18.75" customHeight="1" x14ac:dyDescent="0.15">
      <c r="G52" s="420" t="s">
        <v>288</v>
      </c>
      <c r="H52" s="389">
        <v>33</v>
      </c>
      <c r="N52" s="185"/>
      <c r="O52" s="37"/>
      <c r="P52" s="38"/>
      <c r="Q52" s="35"/>
      <c r="T52" s="37"/>
      <c r="U52" s="38"/>
      <c r="V52" s="35"/>
    </row>
    <row r="53" spans="1:22" ht="18.75" customHeight="1" x14ac:dyDescent="0.15">
      <c r="G53" s="420" t="s">
        <v>289</v>
      </c>
      <c r="H53" s="389">
        <v>24</v>
      </c>
      <c r="N53" s="185"/>
      <c r="T53" s="37"/>
      <c r="U53" s="38"/>
      <c r="V53" s="35"/>
    </row>
    <row r="54" spans="1:22" ht="18.75" customHeight="1" x14ac:dyDescent="0.15">
      <c r="G54" s="420" t="s">
        <v>290</v>
      </c>
      <c r="H54" s="389">
        <v>8</v>
      </c>
      <c r="N54" s="184"/>
      <c r="T54" s="37"/>
      <c r="U54" s="38"/>
      <c r="V54" s="35"/>
    </row>
    <row r="55" spans="1:22" ht="37.5" x14ac:dyDescent="0.15">
      <c r="G55" s="420" t="s">
        <v>291</v>
      </c>
      <c r="H55" s="389">
        <v>0</v>
      </c>
      <c r="N55" s="186"/>
      <c r="T55" s="37"/>
      <c r="U55" s="38"/>
      <c r="V55" s="35"/>
    </row>
    <row r="56" spans="1:22" x14ac:dyDescent="0.15">
      <c r="G56" s="420" t="s">
        <v>296</v>
      </c>
      <c r="H56" s="389">
        <v>3</v>
      </c>
      <c r="T56" s="188"/>
      <c r="U56" s="189"/>
      <c r="V56" s="190"/>
    </row>
    <row r="57" spans="1:22" x14ac:dyDescent="0.15">
      <c r="B57" s="42"/>
      <c r="G57" s="420" t="s">
        <v>292</v>
      </c>
      <c r="H57" s="389">
        <v>5</v>
      </c>
    </row>
    <row r="58" spans="1:22" x14ac:dyDescent="0.15">
      <c r="G58" s="420" t="s">
        <v>293</v>
      </c>
      <c r="H58" s="389">
        <v>3</v>
      </c>
      <c r="N58" s="184"/>
      <c r="O58" s="37"/>
      <c r="P58" s="38"/>
      <c r="Q58" s="35"/>
      <c r="T58" s="37"/>
      <c r="U58" s="38"/>
      <c r="V58" s="35"/>
    </row>
    <row r="59" spans="1:22" ht="37.5" x14ac:dyDescent="0.15">
      <c r="G59" s="420" t="s">
        <v>297</v>
      </c>
      <c r="H59" s="389">
        <v>0</v>
      </c>
    </row>
    <row r="60" spans="1:22" x14ac:dyDescent="0.15">
      <c r="G60" s="420" t="s">
        <v>18</v>
      </c>
      <c r="H60" s="389">
        <v>1</v>
      </c>
    </row>
    <row r="61" spans="1:22" x14ac:dyDescent="0.15">
      <c r="G61" s="420" t="s">
        <v>294</v>
      </c>
      <c r="H61" s="389">
        <v>2</v>
      </c>
      <c r="N61" s="184"/>
      <c r="O61" s="37"/>
      <c r="P61" s="38"/>
      <c r="Q61" s="35"/>
      <c r="T61" s="37"/>
      <c r="U61" s="38"/>
      <c r="V61" s="35"/>
    </row>
    <row r="62" spans="1:22" x14ac:dyDescent="0.15">
      <c r="G62" s="86" t="s">
        <v>617</v>
      </c>
      <c r="H62" s="389">
        <v>0</v>
      </c>
    </row>
  </sheetData>
  <mergeCells count="26">
    <mergeCell ref="F14:G14"/>
    <mergeCell ref="F15:G15"/>
    <mergeCell ref="F16:G16"/>
    <mergeCell ref="F17:G17"/>
    <mergeCell ref="F18:G18"/>
    <mergeCell ref="F9:G9"/>
    <mergeCell ref="F10:G10"/>
    <mergeCell ref="F11:G11"/>
    <mergeCell ref="F12:G12"/>
    <mergeCell ref="F13:G13"/>
    <mergeCell ref="A20:B20"/>
    <mergeCell ref="F20:G20"/>
    <mergeCell ref="A19:B19"/>
    <mergeCell ref="A5:B5"/>
    <mergeCell ref="A9:B9"/>
    <mergeCell ref="A10:B10"/>
    <mergeCell ref="A11:B11"/>
    <mergeCell ref="A12:B12"/>
    <mergeCell ref="A13:B13"/>
    <mergeCell ref="A14:B14"/>
    <mergeCell ref="A15:B15"/>
    <mergeCell ref="A16:B16"/>
    <mergeCell ref="A17:B17"/>
    <mergeCell ref="A18:B18"/>
    <mergeCell ref="F19:G19"/>
    <mergeCell ref="F5:G5"/>
  </mergeCells>
  <phoneticPr fontId="2"/>
  <pageMargins left="0.70866141732283472" right="0.70866141732283472" top="0.74803149606299213" bottom="0.74803149606299213" header="0.31496062992125984" footer="0.31496062992125984"/>
  <pageSetup paperSize="9" scale="81"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Button 1">
              <controlPr defaultSize="0" print="0" autoFill="0" autoPict="0" macro="[0]!データ削除_疾患別_1年以上">
                <anchor moveWithCells="1" sizeWithCells="1">
                  <from>
                    <xdr:col>9</xdr:col>
                    <xdr:colOff>104775</xdr:colOff>
                    <xdr:row>22</xdr:row>
                    <xdr:rowOff>219075</xdr:rowOff>
                  </from>
                  <to>
                    <xdr:col>15</xdr:col>
                    <xdr:colOff>85725</xdr:colOff>
                    <xdr:row>25</xdr:row>
                    <xdr:rowOff>76200</xdr:rowOff>
                  </to>
                </anchor>
              </controlPr>
            </control>
          </mc:Choice>
        </mc:AlternateContent>
      </controls>
    </mc:Choice>
  </mc:AlternateContent>
  <tableParts count="3">
    <tablePart r:id="rId5"/>
    <tablePart r:id="rId6"/>
    <tablePart r:id="rId7"/>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00B0F0"/>
  </sheetPr>
  <dimension ref="A1:G13"/>
  <sheetViews>
    <sheetView showGridLines="0" view="pageBreakPreview" zoomScale="120" zoomScaleNormal="100" zoomScaleSheetLayoutView="120" workbookViewId="0">
      <selection activeCell="C5" sqref="C5"/>
    </sheetView>
  </sheetViews>
  <sheetFormatPr defaultRowHeight="18.75" x14ac:dyDescent="0.15"/>
  <cols>
    <col min="1" max="1" width="13.625" style="1" customWidth="1"/>
    <col min="2" max="3" width="9.375" style="1" customWidth="1"/>
    <col min="4" max="4" width="10.75" style="1" customWidth="1"/>
    <col min="5" max="5" width="7.25" style="1" customWidth="1"/>
    <col min="6" max="6" width="11.625" style="1" customWidth="1"/>
    <col min="7" max="7" width="12.875" style="1" customWidth="1"/>
    <col min="8" max="8" width="6.625" style="1" customWidth="1"/>
    <col min="9" max="9" width="7.375" style="1" customWidth="1"/>
    <col min="10" max="10" width="5" style="1" customWidth="1"/>
    <col min="11" max="11" width="6.625" style="1" customWidth="1"/>
    <col min="12" max="12" width="7.375" style="1" customWidth="1"/>
    <col min="13" max="16384" width="9" style="1"/>
  </cols>
  <sheetData>
    <row r="1" spans="1:7" s="3" customFormat="1" ht="19.5" x14ac:dyDescent="0.15">
      <c r="A1" s="2" t="s">
        <v>155</v>
      </c>
    </row>
    <row r="2" spans="1:7" x14ac:dyDescent="0.15">
      <c r="A2" s="4"/>
    </row>
    <row r="3" spans="1:7" s="3" customFormat="1" ht="19.5" x14ac:dyDescent="0.15">
      <c r="A3" s="4" t="s">
        <v>13</v>
      </c>
      <c r="D3" s="6"/>
      <c r="E3" s="45"/>
      <c r="F3" s="46"/>
      <c r="G3" s="46"/>
    </row>
    <row r="4" spans="1:7" x14ac:dyDescent="0.15">
      <c r="A4" s="310"/>
      <c r="B4" s="310" t="s">
        <v>0</v>
      </c>
      <c r="C4" s="310" t="s">
        <v>1</v>
      </c>
      <c r="D4" s="21"/>
      <c r="E4" s="7"/>
      <c r="F4" s="8"/>
      <c r="G4" s="48"/>
    </row>
    <row r="5" spans="1:7" x14ac:dyDescent="0.15">
      <c r="A5" s="294" t="s">
        <v>28</v>
      </c>
      <c r="B5" s="258">
        <v>63</v>
      </c>
      <c r="C5" s="296">
        <f>IFERROR(B5/B$11,"-")</f>
        <v>7.1884984025559102E-3</v>
      </c>
      <c r="D5" s="21"/>
      <c r="F5" s="8"/>
      <c r="G5" s="48"/>
    </row>
    <row r="6" spans="1:7" x14ac:dyDescent="0.15">
      <c r="A6" s="294" t="s">
        <v>29</v>
      </c>
      <c r="B6" s="258">
        <v>458</v>
      </c>
      <c r="C6" s="296">
        <f t="shared" ref="C6:C10" si="0">IFERROR(B6/B$11,"-")</f>
        <v>5.2259242355088997E-2</v>
      </c>
      <c r="D6" s="21"/>
      <c r="E6" s="7"/>
      <c r="F6" s="8"/>
      <c r="G6" s="48"/>
    </row>
    <row r="7" spans="1:7" x14ac:dyDescent="0.15">
      <c r="A7" s="294" t="s">
        <v>30</v>
      </c>
      <c r="B7" s="258">
        <v>1454</v>
      </c>
      <c r="C7" s="296">
        <f t="shared" si="0"/>
        <v>0.16590597900502055</v>
      </c>
      <c r="D7" s="21"/>
      <c r="E7" s="7"/>
      <c r="F7" s="8"/>
      <c r="G7" s="48"/>
    </row>
    <row r="8" spans="1:7" x14ac:dyDescent="0.15">
      <c r="A8" s="294" t="s">
        <v>31</v>
      </c>
      <c r="B8" s="258">
        <v>3656</v>
      </c>
      <c r="C8" s="296">
        <f t="shared" si="0"/>
        <v>0.41716111364673664</v>
      </c>
      <c r="D8" s="21"/>
      <c r="E8" s="7"/>
      <c r="F8" s="8"/>
      <c r="G8" s="48"/>
    </row>
    <row r="9" spans="1:7" x14ac:dyDescent="0.15">
      <c r="A9" s="294" t="s">
        <v>32</v>
      </c>
      <c r="B9" s="258">
        <v>2610</v>
      </c>
      <c r="C9" s="296">
        <f t="shared" si="0"/>
        <v>0.29780921953445916</v>
      </c>
      <c r="D9" s="21"/>
      <c r="E9" s="7"/>
      <c r="F9" s="8"/>
      <c r="G9" s="48"/>
    </row>
    <row r="10" spans="1:7" x14ac:dyDescent="0.15">
      <c r="A10" s="294" t="s">
        <v>33</v>
      </c>
      <c r="B10" s="258">
        <v>523</v>
      </c>
      <c r="C10" s="296">
        <f t="shared" si="0"/>
        <v>5.9675947056138746E-2</v>
      </c>
      <c r="D10" s="21"/>
      <c r="E10" s="49"/>
      <c r="F10" s="50"/>
      <c r="G10" s="51"/>
    </row>
    <row r="11" spans="1:7" x14ac:dyDescent="0.15">
      <c r="A11" s="312" t="s">
        <v>11</v>
      </c>
      <c r="B11" s="313">
        <f>SUM(B5:B10)</f>
        <v>8764</v>
      </c>
      <c r="C11" s="472">
        <f>SUM(C5:C10)</f>
        <v>1</v>
      </c>
      <c r="D11" s="21"/>
      <c r="E11" s="21"/>
      <c r="F11" s="21"/>
      <c r="G11" s="21"/>
    </row>
    <row r="13" spans="1:7" x14ac:dyDescent="0.15">
      <c r="B13" s="491" t="s">
        <v>365</v>
      </c>
    </row>
  </sheetData>
  <phoneticPr fontId="2"/>
  <pageMargins left="0.70866141732283472" right="0.70866141732283472" top="0.74803149606299213" bottom="0.74803149606299213" header="0.31496062992125984" footer="0.31496062992125984"/>
  <pageSetup paperSize="1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Button 1">
              <controlPr defaultSize="0" print="0" autoFill="0" autoPict="0" macro="[0]!データ削除_状態像区分">
                <anchor moveWithCells="1" sizeWithCells="1">
                  <from>
                    <xdr:col>3</xdr:col>
                    <xdr:colOff>371475</xdr:colOff>
                    <xdr:row>1</xdr:row>
                    <xdr:rowOff>114300</xdr:rowOff>
                  </from>
                  <to>
                    <xdr:col>5</xdr:col>
                    <xdr:colOff>57150</xdr:colOff>
                    <xdr:row>3</xdr:row>
                    <xdr:rowOff>19050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00B0F0"/>
    <pageSetUpPr fitToPage="1"/>
  </sheetPr>
  <dimension ref="A1:AJ64"/>
  <sheetViews>
    <sheetView showGridLines="0" view="pageBreakPreview" zoomScale="70" zoomScaleNormal="85" zoomScaleSheetLayoutView="70" workbookViewId="0">
      <selection activeCell="F39" sqref="F39"/>
    </sheetView>
  </sheetViews>
  <sheetFormatPr defaultRowHeight="18.75" x14ac:dyDescent="0.15"/>
  <cols>
    <col min="1" max="1" width="62.5" style="1" customWidth="1"/>
    <col min="2" max="3" width="9.375" style="1" customWidth="1"/>
    <col min="4" max="4" width="4.125" style="1" customWidth="1"/>
    <col min="5" max="5" width="43.75" style="1" customWidth="1"/>
    <col min="6" max="9" width="9.375" style="1" customWidth="1"/>
    <col min="10" max="10" width="6.25" style="1" customWidth="1"/>
    <col min="11" max="11" width="3.125" style="1" customWidth="1"/>
    <col min="12" max="12" width="49.625" style="1" customWidth="1"/>
    <col min="13" max="13" width="8.125" style="1" customWidth="1"/>
    <col min="14" max="14" width="2.625" style="1" customWidth="1"/>
    <col min="15" max="15" width="4.5" style="1" customWidth="1"/>
    <col min="16" max="16" width="57.125" style="1" customWidth="1"/>
    <col min="17" max="17" width="6.375" style="1" customWidth="1"/>
    <col min="18" max="18" width="25.25" style="1" customWidth="1"/>
    <col min="19" max="19" width="47.875" style="1" bestFit="1" customWidth="1"/>
    <col min="20" max="20" width="34" style="1" customWidth="1"/>
    <col min="21" max="21" width="25.25" style="1" customWidth="1"/>
    <col min="22" max="22" width="55.25" style="1" customWidth="1"/>
    <col min="23" max="23" width="41.5" style="1" customWidth="1"/>
    <col min="24" max="24" width="32.75" style="1" customWidth="1"/>
    <col min="25" max="26" width="47.875" style="1" bestFit="1" customWidth="1"/>
    <col min="27" max="27" width="29" style="1" bestFit="1" customWidth="1"/>
    <col min="28" max="28" width="55.25" style="1" bestFit="1" customWidth="1"/>
    <col min="29" max="29" width="41.5" style="1" bestFit="1" customWidth="1"/>
    <col min="30" max="30" width="32.75" style="1" bestFit="1" customWidth="1"/>
    <col min="31" max="16384" width="9" style="1"/>
  </cols>
  <sheetData>
    <row r="1" spans="1:17" s="3" customFormat="1" ht="19.5" x14ac:dyDescent="0.15">
      <c r="A1" s="2" t="s">
        <v>236</v>
      </c>
    </row>
    <row r="2" spans="1:17" x14ac:dyDescent="0.15">
      <c r="A2" s="4"/>
    </row>
    <row r="3" spans="1:17" x14ac:dyDescent="0.15">
      <c r="A3" s="4" t="s">
        <v>13</v>
      </c>
      <c r="E3" s="4" t="s">
        <v>113</v>
      </c>
    </row>
    <row r="4" spans="1:17" x14ac:dyDescent="0.15">
      <c r="A4" s="328"/>
      <c r="B4" s="310" t="s">
        <v>0</v>
      </c>
      <c r="C4" s="310" t="s">
        <v>1</v>
      </c>
      <c r="E4" s="328"/>
      <c r="F4" s="310" t="s">
        <v>114</v>
      </c>
      <c r="G4" s="329" t="s">
        <v>116</v>
      </c>
      <c r="H4" s="310" t="s">
        <v>12</v>
      </c>
      <c r="I4" s="310" t="s">
        <v>1</v>
      </c>
      <c r="L4" s="139"/>
      <c r="M4" s="139"/>
      <c r="P4" s="139"/>
      <c r="Q4" s="139"/>
    </row>
    <row r="5" spans="1:17" ht="37.5" x14ac:dyDescent="0.15">
      <c r="A5" s="303" t="s">
        <v>231</v>
      </c>
      <c r="B5" s="324">
        <v>1264</v>
      </c>
      <c r="C5" s="296">
        <f>IFERROR(B5/B$8,"-")</f>
        <v>0.14422638064810589</v>
      </c>
      <c r="E5" s="303" t="s">
        <v>231</v>
      </c>
      <c r="F5" s="325">
        <v>40</v>
      </c>
      <c r="G5" s="324">
        <v>265</v>
      </c>
      <c r="H5" s="256">
        <f>SUM(F5:G5)</f>
        <v>305</v>
      </c>
      <c r="I5" s="296">
        <f>IFERROR(H5/H$8,"-")</f>
        <v>0.58541266794625724</v>
      </c>
      <c r="L5" s="37"/>
      <c r="M5" s="22"/>
      <c r="P5" s="37"/>
      <c r="Q5" s="22"/>
    </row>
    <row r="6" spans="1:17" x14ac:dyDescent="0.15">
      <c r="A6" s="298" t="s">
        <v>232</v>
      </c>
      <c r="B6" s="300">
        <v>7282</v>
      </c>
      <c r="C6" s="296">
        <f t="shared" ref="C6:C7" si="0">IFERROR(B6/B$8,"-")</f>
        <v>0.83089913281606576</v>
      </c>
      <c r="E6" s="298" t="s">
        <v>232</v>
      </c>
      <c r="F6" s="300">
        <v>0</v>
      </c>
      <c r="G6" s="300">
        <v>132</v>
      </c>
      <c r="H6" s="256">
        <f t="shared" ref="H6:H7" si="1">SUM(F6:G6)</f>
        <v>132</v>
      </c>
      <c r="I6" s="296">
        <f t="shared" ref="I6:I7" si="2">IFERROR(H6/H$8,"-")</f>
        <v>0.25335892514395392</v>
      </c>
      <c r="L6" s="37"/>
      <c r="M6" s="22"/>
      <c r="P6" s="37"/>
      <c r="Q6" s="22"/>
    </row>
    <row r="7" spans="1:17" x14ac:dyDescent="0.15">
      <c r="A7" s="298" t="s">
        <v>233</v>
      </c>
      <c r="B7" s="300">
        <v>218</v>
      </c>
      <c r="C7" s="296">
        <f t="shared" si="0"/>
        <v>2.487448653582839E-2</v>
      </c>
      <c r="E7" s="298" t="s">
        <v>233</v>
      </c>
      <c r="F7" s="300">
        <v>23</v>
      </c>
      <c r="G7" s="300">
        <v>61</v>
      </c>
      <c r="H7" s="256">
        <f t="shared" si="1"/>
        <v>84</v>
      </c>
      <c r="I7" s="296">
        <f t="shared" si="2"/>
        <v>0.16122840690978887</v>
      </c>
      <c r="L7" s="37"/>
      <c r="M7" s="22"/>
      <c r="P7" s="37"/>
      <c r="Q7" s="22"/>
    </row>
    <row r="8" spans="1:17" x14ac:dyDescent="0.15">
      <c r="A8" s="312" t="s">
        <v>11</v>
      </c>
      <c r="B8" s="313">
        <f>SUM(B5:B7)</f>
        <v>8764</v>
      </c>
      <c r="C8" s="314">
        <f>SUM(C5:C7)</f>
        <v>1</v>
      </c>
      <c r="E8" s="312" t="s">
        <v>11</v>
      </c>
      <c r="F8" s="313">
        <f>SUM(F5:F7)</f>
        <v>63</v>
      </c>
      <c r="G8" s="313">
        <f>SUM(G5:G7)</f>
        <v>458</v>
      </c>
      <c r="H8" s="313">
        <f>SUM(H5:H7)</f>
        <v>521</v>
      </c>
      <c r="I8" s="314">
        <f>SUM(I5:I7)</f>
        <v>1</v>
      </c>
      <c r="L8" s="491" t="s">
        <v>365</v>
      </c>
      <c r="M8" s="22"/>
      <c r="P8" s="37"/>
      <c r="Q8" s="22"/>
    </row>
    <row r="9" spans="1:17" s="136" customFormat="1" ht="11.25" customHeight="1" x14ac:dyDescent="0.15">
      <c r="A9" s="57"/>
      <c r="B9" s="177"/>
      <c r="C9" s="178"/>
      <c r="E9" s="57"/>
      <c r="F9" s="177"/>
      <c r="G9" s="177"/>
      <c r="H9" s="177"/>
      <c r="I9" s="178"/>
      <c r="L9" s="179"/>
      <c r="M9" s="180"/>
      <c r="P9" s="179"/>
      <c r="Q9" s="180"/>
    </row>
    <row r="10" spans="1:17" s="3" customFormat="1" ht="19.5" x14ac:dyDescent="0.15">
      <c r="A10" s="2" t="s">
        <v>85</v>
      </c>
    </row>
    <row r="11" spans="1:17" x14ac:dyDescent="0.15">
      <c r="A11" s="4"/>
    </row>
    <row r="12" spans="1:17" x14ac:dyDescent="0.15">
      <c r="A12" s="4" t="s">
        <v>13</v>
      </c>
      <c r="E12" s="4" t="s">
        <v>113</v>
      </c>
    </row>
    <row r="13" spans="1:17" x14ac:dyDescent="0.15">
      <c r="A13" s="328"/>
      <c r="B13" s="310" t="s">
        <v>0</v>
      </c>
      <c r="C13" s="310" t="s">
        <v>1</v>
      </c>
      <c r="E13" s="328"/>
      <c r="F13" s="310" t="s">
        <v>114</v>
      </c>
      <c r="G13" s="329" t="s">
        <v>116</v>
      </c>
      <c r="H13" s="310" t="s">
        <v>12</v>
      </c>
      <c r="I13" s="310" t="s">
        <v>1</v>
      </c>
      <c r="L13" s="139"/>
      <c r="M13" s="139"/>
      <c r="P13" s="139"/>
      <c r="Q13" s="139"/>
    </row>
    <row r="14" spans="1:17" x14ac:dyDescent="0.45">
      <c r="A14" s="298" t="s">
        <v>34</v>
      </c>
      <c r="B14" s="326">
        <v>1212</v>
      </c>
      <c r="C14" s="296">
        <f>IFERROR(B14/B$16,"-")</f>
        <v>0.95886075949367089</v>
      </c>
      <c r="E14" s="298" t="s">
        <v>34</v>
      </c>
      <c r="F14" s="325">
        <v>35</v>
      </c>
      <c r="G14" s="326">
        <v>245</v>
      </c>
      <c r="H14" s="256">
        <f>SUM(F14:G14)</f>
        <v>280</v>
      </c>
      <c r="I14" s="296">
        <f>IFERROR(H14/H$16,"-")</f>
        <v>0.91803278688524592</v>
      </c>
      <c r="L14" s="37"/>
      <c r="M14" s="22"/>
      <c r="P14" s="37"/>
      <c r="Q14" s="22"/>
    </row>
    <row r="15" spans="1:17" x14ac:dyDescent="0.15">
      <c r="A15" s="298" t="s">
        <v>35</v>
      </c>
      <c r="B15" s="300">
        <v>52</v>
      </c>
      <c r="C15" s="296">
        <f>IFERROR(B15/B$16,"-")</f>
        <v>4.1139240506329111E-2</v>
      </c>
      <c r="E15" s="298" t="s">
        <v>35</v>
      </c>
      <c r="F15" s="300">
        <v>5</v>
      </c>
      <c r="G15" s="300">
        <v>20</v>
      </c>
      <c r="H15" s="256">
        <f t="shared" ref="H15" si="3">SUM(F15:G15)</f>
        <v>25</v>
      </c>
      <c r="I15" s="296">
        <f>IFERROR(H15/H$16,"-")</f>
        <v>8.1967213114754092E-2</v>
      </c>
      <c r="L15" s="37"/>
      <c r="M15" s="22"/>
      <c r="P15" s="37"/>
      <c r="Q15" s="22"/>
    </row>
    <row r="16" spans="1:17" x14ac:dyDescent="0.15">
      <c r="A16" s="312" t="s">
        <v>11</v>
      </c>
      <c r="B16" s="313">
        <f>SUM(B14:B15)</f>
        <v>1264</v>
      </c>
      <c r="C16" s="314">
        <f>SUM(C14:C15)</f>
        <v>1</v>
      </c>
      <c r="E16" s="312" t="s">
        <v>11</v>
      </c>
      <c r="F16" s="313">
        <f>SUM(F14:F15)</f>
        <v>40</v>
      </c>
      <c r="G16" s="313">
        <f>SUM(G14:G15)</f>
        <v>265</v>
      </c>
      <c r="H16" s="313">
        <f>SUM(H14:H15)</f>
        <v>305</v>
      </c>
      <c r="I16" s="314">
        <f>SUM(I14:I15)</f>
        <v>1</v>
      </c>
      <c r="L16" s="37"/>
      <c r="M16" s="22"/>
      <c r="P16" s="37"/>
      <c r="Q16" s="22"/>
    </row>
    <row r="17" spans="1:36" x14ac:dyDescent="0.15">
      <c r="A17" s="4"/>
      <c r="L17" s="37"/>
      <c r="M17" s="22"/>
      <c r="P17" s="37"/>
      <c r="Q17" s="22"/>
    </row>
    <row r="18" spans="1:36" s="3" customFormat="1" ht="19.5" x14ac:dyDescent="0.15">
      <c r="A18" s="2" t="s">
        <v>86</v>
      </c>
      <c r="K18" s="1"/>
      <c r="L18" s="37"/>
      <c r="M18" s="22"/>
      <c r="O18" s="1"/>
      <c r="P18" s="37"/>
      <c r="Q18" s="22"/>
    </row>
    <row r="19" spans="1:36" x14ac:dyDescent="0.15">
      <c r="A19" s="4"/>
      <c r="L19" s="37"/>
      <c r="M19" s="22"/>
      <c r="P19" s="37"/>
      <c r="Q19" s="22"/>
    </row>
    <row r="20" spans="1:36" x14ac:dyDescent="0.15">
      <c r="A20" s="4" t="s">
        <v>13</v>
      </c>
      <c r="E20" s="4" t="s">
        <v>113</v>
      </c>
      <c r="L20" s="37"/>
      <c r="M20" s="22"/>
      <c r="P20" s="37"/>
      <c r="Q20" s="22"/>
    </row>
    <row r="21" spans="1:36" x14ac:dyDescent="0.15">
      <c r="A21" s="890">
        <f>B14</f>
        <v>1212</v>
      </c>
      <c r="B21" s="890"/>
      <c r="C21" s="890"/>
      <c r="E21" s="891">
        <f>H14</f>
        <v>280</v>
      </c>
      <c r="F21" s="891"/>
      <c r="G21" s="891"/>
      <c r="H21" s="891"/>
      <c r="I21" s="891"/>
      <c r="L21" s="37"/>
      <c r="M21" s="22"/>
      <c r="P21" s="37"/>
      <c r="Q21" s="22"/>
    </row>
    <row r="22" spans="1:36" x14ac:dyDescent="0.15">
      <c r="A22" s="328"/>
      <c r="B22" s="310" t="s">
        <v>37</v>
      </c>
      <c r="C22" s="310" t="s">
        <v>1</v>
      </c>
      <c r="E22" s="328"/>
      <c r="F22" s="310" t="s">
        <v>114</v>
      </c>
      <c r="G22" s="329" t="s">
        <v>116</v>
      </c>
      <c r="H22" s="310" t="s">
        <v>12</v>
      </c>
      <c r="I22" s="310" t="s">
        <v>1</v>
      </c>
      <c r="L22" s="37"/>
      <c r="M22" s="22"/>
      <c r="P22" s="37"/>
      <c r="Q22" s="22"/>
    </row>
    <row r="23" spans="1:36" ht="37.5" customHeight="1" x14ac:dyDescent="0.15">
      <c r="A23" s="303" t="s">
        <v>250</v>
      </c>
      <c r="B23" s="300">
        <v>442</v>
      </c>
      <c r="C23" s="296">
        <f>IFERROR(B23/B$14,"-")</f>
        <v>0.36468646864686466</v>
      </c>
      <c r="E23" s="327" t="s">
        <v>235</v>
      </c>
      <c r="F23" s="300">
        <v>11</v>
      </c>
      <c r="G23" s="300">
        <v>70</v>
      </c>
      <c r="H23" s="256">
        <f>SUM(F23:G23)</f>
        <v>81</v>
      </c>
      <c r="I23" s="296">
        <f>IFERROR(H23/H$14,"-")</f>
        <v>0.28928571428571431</v>
      </c>
      <c r="L23" s="37"/>
      <c r="M23" s="22"/>
      <c r="P23" s="37"/>
      <c r="Q23" s="22"/>
    </row>
    <row r="24" spans="1:36" x14ac:dyDescent="0.15">
      <c r="A24" s="298" t="s">
        <v>159</v>
      </c>
      <c r="B24" s="300">
        <v>398</v>
      </c>
      <c r="C24" s="296">
        <f t="shared" ref="C24:C41" si="4">IFERROR(B24/B$14,"-")</f>
        <v>0.32838283828382836</v>
      </c>
      <c r="E24" s="298" t="s">
        <v>159</v>
      </c>
      <c r="F24" s="300">
        <v>3</v>
      </c>
      <c r="G24" s="300">
        <v>56</v>
      </c>
      <c r="H24" s="256">
        <f t="shared" ref="H24:H42" si="5">SUM(F24:G24)</f>
        <v>59</v>
      </c>
      <c r="I24" s="296">
        <f t="shared" ref="I24:I42" si="6">IFERROR(H24/H$14,"-")</f>
        <v>0.21071428571428572</v>
      </c>
      <c r="L24" s="37"/>
      <c r="M24" s="22"/>
      <c r="P24" s="37"/>
      <c r="Q24" s="22"/>
    </row>
    <row r="25" spans="1:36" x14ac:dyDescent="0.15">
      <c r="A25" s="298" t="s">
        <v>38</v>
      </c>
      <c r="B25" s="300">
        <v>66</v>
      </c>
      <c r="C25" s="296">
        <f t="shared" si="4"/>
        <v>5.4455445544554455E-2</v>
      </c>
      <c r="E25" s="298" t="s">
        <v>38</v>
      </c>
      <c r="F25" s="300">
        <v>1</v>
      </c>
      <c r="G25" s="300">
        <v>14</v>
      </c>
      <c r="H25" s="256">
        <f t="shared" si="5"/>
        <v>15</v>
      </c>
      <c r="I25" s="296">
        <f t="shared" si="6"/>
        <v>5.3571428571428568E-2</v>
      </c>
      <c r="L25" s="37"/>
      <c r="M25" s="22"/>
      <c r="P25" s="37"/>
      <c r="Q25" s="22"/>
    </row>
    <row r="26" spans="1:36" x14ac:dyDescent="0.15">
      <c r="A26" s="298" t="s">
        <v>39</v>
      </c>
      <c r="B26" s="300">
        <v>539</v>
      </c>
      <c r="C26" s="296">
        <f t="shared" si="4"/>
        <v>0.44471947194719474</v>
      </c>
      <c r="E26" s="298" t="s">
        <v>39</v>
      </c>
      <c r="F26" s="300">
        <v>12</v>
      </c>
      <c r="G26" s="300">
        <v>128</v>
      </c>
      <c r="H26" s="256">
        <f t="shared" si="5"/>
        <v>140</v>
      </c>
      <c r="I26" s="296">
        <f t="shared" si="6"/>
        <v>0.5</v>
      </c>
      <c r="L26" s="37"/>
      <c r="M26" s="22"/>
      <c r="P26" s="37"/>
      <c r="Q26" s="22"/>
    </row>
    <row r="27" spans="1:36" x14ac:dyDescent="0.15">
      <c r="A27" s="298" t="s">
        <v>40</v>
      </c>
      <c r="B27" s="300">
        <v>562</v>
      </c>
      <c r="C27" s="296">
        <f t="shared" si="4"/>
        <v>0.4636963696369637</v>
      </c>
      <c r="E27" s="298" t="s">
        <v>40</v>
      </c>
      <c r="F27" s="300">
        <v>6</v>
      </c>
      <c r="G27" s="300">
        <v>79</v>
      </c>
      <c r="H27" s="256">
        <f t="shared" si="5"/>
        <v>85</v>
      </c>
      <c r="I27" s="296">
        <f t="shared" si="6"/>
        <v>0.30357142857142855</v>
      </c>
      <c r="L27" s="37"/>
      <c r="M27" s="22"/>
      <c r="P27" s="37"/>
      <c r="Q27" s="22"/>
    </row>
    <row r="28" spans="1:36" x14ac:dyDescent="0.15">
      <c r="A28" s="298" t="s">
        <v>41</v>
      </c>
      <c r="B28" s="300">
        <v>378</v>
      </c>
      <c r="C28" s="296">
        <f t="shared" si="4"/>
        <v>0.31188118811881188</v>
      </c>
      <c r="E28" s="298" t="s">
        <v>41</v>
      </c>
      <c r="F28" s="300">
        <v>5</v>
      </c>
      <c r="G28" s="300">
        <v>90</v>
      </c>
      <c r="H28" s="256">
        <f t="shared" si="5"/>
        <v>95</v>
      </c>
      <c r="I28" s="296">
        <f t="shared" si="6"/>
        <v>0.3392857142857143</v>
      </c>
      <c r="L28" s="37"/>
      <c r="M28" s="22"/>
      <c r="P28" s="37"/>
      <c r="Q28" s="22"/>
    </row>
    <row r="29" spans="1:36" x14ac:dyDescent="0.15">
      <c r="A29" s="298" t="s">
        <v>42</v>
      </c>
      <c r="B29" s="300">
        <v>119</v>
      </c>
      <c r="C29" s="296">
        <f t="shared" si="4"/>
        <v>9.818481848184818E-2</v>
      </c>
      <c r="E29" s="298" t="s">
        <v>42</v>
      </c>
      <c r="F29" s="300">
        <v>1</v>
      </c>
      <c r="G29" s="300">
        <v>24</v>
      </c>
      <c r="H29" s="256">
        <f t="shared" si="5"/>
        <v>25</v>
      </c>
      <c r="I29" s="296">
        <f t="shared" si="6"/>
        <v>8.9285714285714288E-2</v>
      </c>
      <c r="L29" s="37"/>
      <c r="M29" s="22"/>
      <c r="P29" s="37"/>
      <c r="Q29" s="22"/>
    </row>
    <row r="30" spans="1:36" x14ac:dyDescent="0.15">
      <c r="A30" s="298" t="s">
        <v>43</v>
      </c>
      <c r="B30" s="300">
        <v>444</v>
      </c>
      <c r="C30" s="296">
        <f t="shared" si="4"/>
        <v>0.36633663366336633</v>
      </c>
      <c r="E30" s="298" t="s">
        <v>43</v>
      </c>
      <c r="F30" s="300">
        <v>4</v>
      </c>
      <c r="G30" s="300">
        <v>69</v>
      </c>
      <c r="H30" s="256">
        <f t="shared" si="5"/>
        <v>73</v>
      </c>
      <c r="I30" s="296">
        <f t="shared" si="6"/>
        <v>0.26071428571428573</v>
      </c>
      <c r="L30" s="37"/>
      <c r="M30" s="22"/>
      <c r="P30" s="37"/>
      <c r="Q30" s="22"/>
    </row>
    <row r="31" spans="1:36" x14ac:dyDescent="0.15">
      <c r="A31" s="298" t="s">
        <v>44</v>
      </c>
      <c r="B31" s="300">
        <v>218</v>
      </c>
      <c r="C31" s="296">
        <f t="shared" si="4"/>
        <v>0.17986798679867988</v>
      </c>
      <c r="E31" s="298" t="s">
        <v>44</v>
      </c>
      <c r="F31" s="300">
        <v>6</v>
      </c>
      <c r="G31" s="300">
        <v>43</v>
      </c>
      <c r="H31" s="256">
        <f t="shared" si="5"/>
        <v>49</v>
      </c>
      <c r="I31" s="296">
        <f t="shared" si="6"/>
        <v>0.17499999999999999</v>
      </c>
      <c r="K31" s="21"/>
      <c r="L31" s="7"/>
      <c r="M31" s="85"/>
      <c r="N31" s="21"/>
      <c r="O31" s="21"/>
      <c r="P31" s="7"/>
      <c r="Q31" s="85"/>
      <c r="R31" s="21"/>
      <c r="S31" s="21"/>
      <c r="T31" s="21"/>
      <c r="U31" s="21"/>
      <c r="V31" s="21"/>
      <c r="W31" s="21"/>
      <c r="X31" s="21"/>
      <c r="Y31" s="21"/>
      <c r="Z31" s="21"/>
      <c r="AA31" s="21"/>
      <c r="AB31" s="21"/>
      <c r="AC31" s="21"/>
      <c r="AD31" s="21"/>
      <c r="AE31" s="21"/>
      <c r="AF31" s="21"/>
      <c r="AG31" s="21"/>
      <c r="AH31" s="21"/>
      <c r="AI31" s="21"/>
      <c r="AJ31" s="21"/>
    </row>
    <row r="32" spans="1:36" x14ac:dyDescent="0.15">
      <c r="A32" s="298" t="s">
        <v>246</v>
      </c>
      <c r="B32" s="300">
        <v>267</v>
      </c>
      <c r="C32" s="296">
        <f t="shared" si="4"/>
        <v>0.2202970297029703</v>
      </c>
      <c r="E32" s="298" t="s">
        <v>246</v>
      </c>
      <c r="F32" s="300">
        <v>14</v>
      </c>
      <c r="G32" s="300">
        <v>66</v>
      </c>
      <c r="H32" s="256">
        <f t="shared" si="5"/>
        <v>80</v>
      </c>
      <c r="I32" s="296">
        <f t="shared" si="6"/>
        <v>0.2857142857142857</v>
      </c>
      <c r="K32" s="21"/>
      <c r="L32" s="7"/>
      <c r="M32" s="85"/>
      <c r="N32" s="21"/>
      <c r="O32" s="21"/>
      <c r="P32" s="7"/>
      <c r="Q32" s="85"/>
      <c r="R32" s="21"/>
      <c r="S32" s="21"/>
      <c r="T32" s="21"/>
      <c r="U32" s="21"/>
      <c r="V32" s="21"/>
      <c r="W32" s="21"/>
      <c r="X32" s="21"/>
      <c r="Y32" s="21"/>
      <c r="Z32" s="21"/>
      <c r="AA32" s="21"/>
      <c r="AB32" s="21"/>
      <c r="AC32" s="21"/>
      <c r="AD32" s="21"/>
      <c r="AE32" s="21"/>
      <c r="AF32" s="21"/>
      <c r="AG32" s="21"/>
      <c r="AH32" s="21"/>
      <c r="AI32" s="21"/>
      <c r="AJ32" s="21"/>
    </row>
    <row r="33" spans="1:36" x14ac:dyDescent="0.15">
      <c r="A33" s="298" t="s">
        <v>46</v>
      </c>
      <c r="B33" s="300">
        <v>364</v>
      </c>
      <c r="C33" s="296">
        <f t="shared" si="4"/>
        <v>0.30033003300330036</v>
      </c>
      <c r="E33" s="298" t="s">
        <v>46</v>
      </c>
      <c r="F33" s="300">
        <v>10</v>
      </c>
      <c r="G33" s="300">
        <v>60</v>
      </c>
      <c r="H33" s="256">
        <f t="shared" si="5"/>
        <v>70</v>
      </c>
      <c r="I33" s="296">
        <f t="shared" si="6"/>
        <v>0.25</v>
      </c>
      <c r="K33" s="21"/>
      <c r="L33" s="7"/>
      <c r="M33" s="85"/>
      <c r="N33" s="21"/>
      <c r="O33" s="21"/>
      <c r="P33" s="7"/>
      <c r="Q33" s="85"/>
      <c r="R33" s="21"/>
      <c r="S33" s="21"/>
      <c r="T33" s="21"/>
      <c r="U33" s="21"/>
      <c r="V33" s="21"/>
      <c r="W33" s="21"/>
      <c r="X33" s="21"/>
      <c r="Y33" s="21"/>
      <c r="Z33" s="21"/>
      <c r="AA33" s="21"/>
      <c r="AB33" s="21"/>
      <c r="AC33" s="21"/>
      <c r="AD33" s="21"/>
      <c r="AE33" s="21"/>
      <c r="AF33" s="21"/>
      <c r="AG33" s="21"/>
      <c r="AH33" s="21"/>
      <c r="AI33" s="21"/>
      <c r="AJ33" s="21"/>
    </row>
    <row r="34" spans="1:36" x14ac:dyDescent="0.15">
      <c r="A34" s="298" t="s">
        <v>47</v>
      </c>
      <c r="B34" s="300">
        <v>80</v>
      </c>
      <c r="C34" s="296">
        <f t="shared" si="4"/>
        <v>6.6006600660066E-2</v>
      </c>
      <c r="E34" s="298" t="s">
        <v>47</v>
      </c>
      <c r="F34" s="300">
        <v>2</v>
      </c>
      <c r="G34" s="300">
        <v>17</v>
      </c>
      <c r="H34" s="256">
        <f t="shared" si="5"/>
        <v>19</v>
      </c>
      <c r="I34" s="296">
        <f t="shared" si="6"/>
        <v>6.7857142857142852E-2</v>
      </c>
      <c r="K34" s="21"/>
      <c r="L34" s="7"/>
      <c r="M34" s="85"/>
      <c r="N34" s="21"/>
      <c r="O34" s="21"/>
      <c r="P34" s="7"/>
      <c r="Q34" s="85"/>
      <c r="R34" s="21"/>
      <c r="S34" s="21"/>
      <c r="T34" s="21"/>
      <c r="U34" s="21"/>
      <c r="V34" s="21"/>
      <c r="W34" s="21"/>
      <c r="X34" s="21"/>
      <c r="Y34" s="21"/>
      <c r="Z34" s="21"/>
      <c r="AA34" s="21"/>
      <c r="AB34" s="21"/>
      <c r="AC34" s="21"/>
      <c r="AD34" s="21"/>
      <c r="AE34" s="21"/>
      <c r="AF34" s="21"/>
      <c r="AG34" s="21"/>
      <c r="AH34" s="21"/>
      <c r="AI34" s="21"/>
      <c r="AJ34" s="21"/>
    </row>
    <row r="35" spans="1:36" x14ac:dyDescent="0.15">
      <c r="A35" s="298" t="s">
        <v>48</v>
      </c>
      <c r="B35" s="300">
        <v>42</v>
      </c>
      <c r="C35" s="296">
        <f t="shared" si="4"/>
        <v>3.4653465346534656E-2</v>
      </c>
      <c r="E35" s="298" t="s">
        <v>48</v>
      </c>
      <c r="F35" s="300">
        <v>1</v>
      </c>
      <c r="G35" s="300">
        <v>9</v>
      </c>
      <c r="H35" s="256">
        <f t="shared" si="5"/>
        <v>10</v>
      </c>
      <c r="I35" s="296">
        <f t="shared" si="6"/>
        <v>3.5714285714285712E-2</v>
      </c>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row>
    <row r="36" spans="1:36" x14ac:dyDescent="0.15">
      <c r="A36" s="298" t="s">
        <v>49</v>
      </c>
      <c r="B36" s="300">
        <v>4</v>
      </c>
      <c r="C36" s="296">
        <f t="shared" si="4"/>
        <v>3.3003300330033004E-3</v>
      </c>
      <c r="E36" s="298" t="s">
        <v>49</v>
      </c>
      <c r="F36" s="300">
        <v>0</v>
      </c>
      <c r="G36" s="300">
        <v>1</v>
      </c>
      <c r="H36" s="256">
        <f t="shared" si="5"/>
        <v>1</v>
      </c>
      <c r="I36" s="296">
        <f t="shared" si="6"/>
        <v>3.5714285714285713E-3</v>
      </c>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row>
    <row r="37" spans="1:36" x14ac:dyDescent="0.15">
      <c r="A37" s="298" t="s">
        <v>50</v>
      </c>
      <c r="B37" s="300">
        <v>93</v>
      </c>
      <c r="C37" s="296">
        <f t="shared" si="4"/>
        <v>7.6732673267326731E-2</v>
      </c>
      <c r="E37" s="298" t="s">
        <v>50</v>
      </c>
      <c r="F37" s="300">
        <v>1</v>
      </c>
      <c r="G37" s="300">
        <v>20</v>
      </c>
      <c r="H37" s="256">
        <f t="shared" si="5"/>
        <v>21</v>
      </c>
      <c r="I37" s="296">
        <f t="shared" si="6"/>
        <v>7.4999999999999997E-2</v>
      </c>
      <c r="K37" s="21"/>
      <c r="L37" s="181"/>
      <c r="M37" s="181"/>
      <c r="N37" s="21"/>
      <c r="O37" s="21"/>
      <c r="P37" s="21"/>
      <c r="Q37" s="21"/>
      <c r="R37" s="21"/>
      <c r="S37" s="21"/>
      <c r="T37" s="21"/>
      <c r="U37" s="21"/>
      <c r="V37" s="21"/>
      <c r="W37" s="21"/>
      <c r="X37" s="21"/>
      <c r="Y37" s="21"/>
      <c r="Z37" s="21"/>
      <c r="AA37" s="21"/>
      <c r="AB37" s="21"/>
      <c r="AC37" s="21"/>
      <c r="AD37" s="21"/>
      <c r="AE37" s="21"/>
      <c r="AF37" s="21"/>
      <c r="AG37" s="21"/>
      <c r="AH37" s="21"/>
      <c r="AI37" s="21"/>
      <c r="AJ37" s="21"/>
    </row>
    <row r="38" spans="1:36" x14ac:dyDescent="0.15">
      <c r="A38" s="298" t="s">
        <v>51</v>
      </c>
      <c r="B38" s="300">
        <v>82</v>
      </c>
      <c r="C38" s="296">
        <f t="shared" si="4"/>
        <v>6.7656765676567657E-2</v>
      </c>
      <c r="E38" s="298" t="s">
        <v>51</v>
      </c>
      <c r="F38" s="300">
        <v>2</v>
      </c>
      <c r="G38" s="300">
        <v>21</v>
      </c>
      <c r="H38" s="256">
        <f t="shared" si="5"/>
        <v>23</v>
      </c>
      <c r="I38" s="296">
        <f t="shared" si="6"/>
        <v>8.2142857142857142E-2</v>
      </c>
      <c r="K38" s="21"/>
      <c r="L38" s="7"/>
      <c r="M38" s="85"/>
      <c r="N38" s="21"/>
      <c r="O38" s="21"/>
      <c r="P38" s="21"/>
      <c r="Q38" s="21"/>
      <c r="R38" s="21"/>
      <c r="S38" s="21"/>
      <c r="T38" s="21"/>
      <c r="U38" s="21"/>
      <c r="V38" s="21"/>
      <c r="W38" s="21"/>
      <c r="X38" s="21"/>
      <c r="Y38" s="21"/>
      <c r="Z38" s="21"/>
      <c r="AA38" s="21"/>
      <c r="AB38" s="21"/>
      <c r="AC38" s="21"/>
      <c r="AD38" s="21"/>
      <c r="AE38" s="21"/>
      <c r="AF38" s="21"/>
      <c r="AG38" s="21"/>
      <c r="AH38" s="21"/>
      <c r="AI38" s="21"/>
      <c r="AJ38" s="21"/>
    </row>
    <row r="39" spans="1:36" x14ac:dyDescent="0.15">
      <c r="A39" s="298" t="s">
        <v>247</v>
      </c>
      <c r="B39" s="300">
        <v>16</v>
      </c>
      <c r="C39" s="296">
        <f t="shared" si="4"/>
        <v>1.3201320132013201E-2</v>
      </c>
      <c r="E39" s="298" t="s">
        <v>247</v>
      </c>
      <c r="F39" s="300">
        <v>0</v>
      </c>
      <c r="G39" s="300">
        <v>4</v>
      </c>
      <c r="H39" s="256">
        <f t="shared" si="5"/>
        <v>4</v>
      </c>
      <c r="I39" s="296">
        <f t="shared" si="6"/>
        <v>1.4285714285714285E-2</v>
      </c>
      <c r="K39" s="21"/>
      <c r="L39" s="7"/>
      <c r="M39" s="85"/>
      <c r="N39" s="21"/>
      <c r="O39" s="21"/>
      <c r="P39" s="21"/>
      <c r="Q39" s="21"/>
      <c r="R39" s="21"/>
      <c r="S39" s="21"/>
      <c r="T39" s="21"/>
      <c r="U39" s="21"/>
      <c r="V39" s="21"/>
      <c r="W39" s="21"/>
      <c r="X39" s="21"/>
      <c r="Y39" s="21"/>
      <c r="Z39" s="21"/>
      <c r="AA39" s="21"/>
      <c r="AB39" s="21"/>
      <c r="AC39" s="21"/>
      <c r="AD39" s="21"/>
      <c r="AE39" s="21"/>
      <c r="AF39" s="21"/>
      <c r="AG39" s="21"/>
      <c r="AH39" s="21"/>
      <c r="AI39" s="21"/>
      <c r="AJ39" s="21"/>
    </row>
    <row r="40" spans="1:36" x14ac:dyDescent="0.15">
      <c r="A40" s="308" t="s">
        <v>378</v>
      </c>
      <c r="B40" s="306">
        <v>194</v>
      </c>
      <c r="C40" s="307">
        <f t="shared" si="4"/>
        <v>0.16006600660066006</v>
      </c>
      <c r="D40" s="136"/>
      <c r="E40" s="532" t="s">
        <v>378</v>
      </c>
      <c r="F40" s="300">
        <v>0</v>
      </c>
      <c r="G40" s="300">
        <v>15</v>
      </c>
      <c r="H40" s="256">
        <f t="shared" si="5"/>
        <v>15</v>
      </c>
      <c r="I40" s="296">
        <f t="shared" si="6"/>
        <v>5.3571428571428568E-2</v>
      </c>
      <c r="L40" s="37"/>
      <c r="M40" s="22"/>
    </row>
    <row r="41" spans="1:36" ht="37.5" customHeight="1" x14ac:dyDescent="0.15">
      <c r="A41" s="531" t="s">
        <v>379</v>
      </c>
      <c r="B41" s="306">
        <v>107</v>
      </c>
      <c r="C41" s="307">
        <f t="shared" si="4"/>
        <v>8.8283828382838284E-2</v>
      </c>
      <c r="D41" s="136"/>
      <c r="E41" s="531" t="s">
        <v>379</v>
      </c>
      <c r="F41" s="300">
        <v>0</v>
      </c>
      <c r="G41" s="300">
        <v>4</v>
      </c>
      <c r="H41" s="256">
        <f t="shared" si="5"/>
        <v>4</v>
      </c>
      <c r="I41" s="296">
        <f t="shared" si="6"/>
        <v>1.4285714285714285E-2</v>
      </c>
      <c r="L41" s="37"/>
      <c r="M41" s="22"/>
    </row>
    <row r="42" spans="1:36" x14ac:dyDescent="0.15">
      <c r="A42" s="308" t="s">
        <v>53</v>
      </c>
      <c r="B42" s="306">
        <v>29</v>
      </c>
      <c r="C42" s="307">
        <f>IFERROR(B42/B$14,"-")</f>
        <v>2.3927392739273929E-2</v>
      </c>
      <c r="D42" s="136"/>
      <c r="E42" s="532" t="s">
        <v>53</v>
      </c>
      <c r="F42" s="300">
        <v>3</v>
      </c>
      <c r="G42" s="300">
        <v>5</v>
      </c>
      <c r="H42" s="256">
        <f t="shared" si="5"/>
        <v>8</v>
      </c>
      <c r="I42" s="296">
        <f t="shared" si="6"/>
        <v>2.8571428571428571E-2</v>
      </c>
      <c r="L42" s="37"/>
      <c r="M42" s="22"/>
    </row>
    <row r="43" spans="1:36" x14ac:dyDescent="0.15">
      <c r="K43" s="21"/>
      <c r="L43" s="7"/>
      <c r="M43" s="85"/>
      <c r="N43" s="21"/>
      <c r="O43" s="21"/>
      <c r="P43" s="21"/>
      <c r="Q43" s="21"/>
      <c r="R43" s="21"/>
      <c r="S43" s="21"/>
      <c r="T43" s="21"/>
      <c r="U43" s="21"/>
      <c r="V43" s="21"/>
      <c r="W43" s="21"/>
      <c r="X43" s="21"/>
      <c r="Y43" s="21"/>
      <c r="Z43" s="21"/>
      <c r="AA43" s="21"/>
      <c r="AB43" s="21"/>
      <c r="AC43" s="21"/>
      <c r="AD43" s="21"/>
      <c r="AE43" s="21"/>
      <c r="AF43" s="21"/>
      <c r="AG43" s="21"/>
      <c r="AH43" s="21"/>
      <c r="AI43" s="21"/>
      <c r="AJ43" s="21"/>
    </row>
    <row r="44" spans="1:36" x14ac:dyDescent="0.15">
      <c r="K44" s="21"/>
      <c r="L44" s="7"/>
      <c r="M44" s="85"/>
      <c r="N44" s="21"/>
      <c r="O44" s="21"/>
      <c r="P44" s="21"/>
      <c r="Q44" s="21"/>
      <c r="R44" s="21"/>
      <c r="S44" s="21"/>
      <c r="T44" s="21"/>
      <c r="U44" s="21"/>
      <c r="V44" s="21"/>
      <c r="W44" s="21"/>
      <c r="X44" s="21"/>
      <c r="Y44" s="21"/>
      <c r="Z44" s="21"/>
      <c r="AA44" s="21"/>
      <c r="AB44" s="21"/>
      <c r="AC44" s="21"/>
      <c r="AD44" s="21"/>
      <c r="AE44" s="21"/>
      <c r="AF44" s="21"/>
      <c r="AG44" s="21"/>
      <c r="AH44" s="21"/>
      <c r="AI44" s="21"/>
      <c r="AJ44" s="21"/>
    </row>
    <row r="45" spans="1:36" x14ac:dyDescent="0.15">
      <c r="K45" s="21"/>
      <c r="L45" s="7"/>
      <c r="M45" s="85"/>
      <c r="N45" s="21"/>
      <c r="O45" s="21"/>
      <c r="P45" s="21"/>
      <c r="Q45" s="21"/>
      <c r="R45" s="21"/>
      <c r="S45" s="21"/>
      <c r="T45" s="21"/>
      <c r="U45" s="21"/>
      <c r="V45" s="21"/>
      <c r="W45" s="21"/>
      <c r="X45" s="21"/>
      <c r="Y45" s="21"/>
      <c r="Z45" s="21"/>
      <c r="AA45" s="21"/>
      <c r="AB45" s="21"/>
      <c r="AC45" s="21"/>
      <c r="AD45" s="21"/>
      <c r="AE45" s="21"/>
      <c r="AF45" s="21"/>
      <c r="AG45" s="21"/>
      <c r="AH45" s="21"/>
      <c r="AI45" s="21"/>
      <c r="AJ45" s="21"/>
    </row>
    <row r="46" spans="1:36" x14ac:dyDescent="0.15">
      <c r="K46" s="21"/>
      <c r="L46" s="7"/>
      <c r="M46" s="85"/>
      <c r="N46" s="21"/>
      <c r="O46" s="21"/>
      <c r="P46" s="21"/>
      <c r="Q46" s="21"/>
      <c r="R46" s="21"/>
      <c r="S46" s="21"/>
      <c r="T46" s="21"/>
      <c r="U46" s="21"/>
      <c r="V46" s="21"/>
      <c r="W46" s="21"/>
      <c r="X46" s="21"/>
      <c r="Y46" s="21"/>
      <c r="Z46" s="21"/>
      <c r="AA46" s="21"/>
      <c r="AB46" s="21"/>
      <c r="AC46" s="21"/>
      <c r="AD46" s="21"/>
      <c r="AE46" s="21"/>
      <c r="AF46" s="21"/>
      <c r="AG46" s="21"/>
      <c r="AH46" s="21"/>
      <c r="AI46" s="21"/>
      <c r="AJ46" s="21"/>
    </row>
    <row r="47" spans="1:36" x14ac:dyDescent="0.15">
      <c r="K47" s="21"/>
      <c r="L47" s="7"/>
      <c r="M47" s="85"/>
      <c r="N47" s="21"/>
      <c r="O47" s="21"/>
      <c r="P47" s="21"/>
      <c r="Q47" s="21"/>
      <c r="R47" s="21"/>
      <c r="S47" s="21"/>
      <c r="T47" s="21"/>
      <c r="U47" s="21"/>
      <c r="V47" s="21"/>
      <c r="W47" s="21"/>
      <c r="X47" s="21"/>
      <c r="Y47" s="21"/>
      <c r="Z47" s="21"/>
      <c r="AA47" s="21"/>
      <c r="AB47" s="21"/>
      <c r="AC47" s="21"/>
      <c r="AD47" s="21"/>
      <c r="AE47" s="21"/>
      <c r="AF47" s="21"/>
      <c r="AG47" s="21"/>
      <c r="AH47" s="21"/>
      <c r="AI47" s="21"/>
      <c r="AJ47" s="21"/>
    </row>
    <row r="48" spans="1:36" x14ac:dyDescent="0.15">
      <c r="K48" s="21"/>
      <c r="L48" s="7"/>
      <c r="M48" s="85"/>
      <c r="N48" s="21"/>
      <c r="O48" s="21"/>
      <c r="P48" s="21"/>
      <c r="Q48" s="21"/>
      <c r="R48" s="21"/>
      <c r="S48" s="21"/>
      <c r="T48" s="21"/>
      <c r="U48" s="21"/>
      <c r="V48" s="21"/>
      <c r="W48" s="21"/>
      <c r="X48" s="21"/>
      <c r="Y48" s="21"/>
      <c r="Z48" s="21"/>
      <c r="AA48" s="21"/>
      <c r="AB48" s="21"/>
      <c r="AC48" s="21"/>
      <c r="AD48" s="21"/>
      <c r="AE48" s="21"/>
      <c r="AF48" s="21"/>
      <c r="AG48" s="21"/>
      <c r="AH48" s="21"/>
      <c r="AI48" s="21"/>
      <c r="AJ48" s="21"/>
    </row>
    <row r="49" spans="11:36" x14ac:dyDescent="0.15">
      <c r="K49" s="21"/>
      <c r="L49" s="7"/>
      <c r="M49" s="85"/>
      <c r="N49" s="21"/>
      <c r="O49" s="21"/>
      <c r="P49" s="21"/>
      <c r="Q49" s="21"/>
      <c r="R49" s="21"/>
      <c r="S49" s="21"/>
      <c r="T49" s="21"/>
      <c r="U49" s="21"/>
      <c r="V49" s="21"/>
      <c r="W49" s="21"/>
      <c r="X49" s="21"/>
      <c r="Y49" s="21"/>
      <c r="Z49" s="21"/>
      <c r="AA49" s="21"/>
      <c r="AB49" s="21"/>
      <c r="AC49" s="21"/>
      <c r="AD49" s="21"/>
      <c r="AE49" s="21"/>
      <c r="AF49" s="21"/>
      <c r="AG49" s="21"/>
      <c r="AH49" s="21"/>
      <c r="AI49" s="21"/>
      <c r="AJ49" s="21"/>
    </row>
    <row r="50" spans="11:36" x14ac:dyDescent="0.15">
      <c r="K50" s="21"/>
      <c r="L50" s="7"/>
      <c r="M50" s="85"/>
      <c r="N50" s="21"/>
      <c r="O50" s="21"/>
      <c r="P50" s="21"/>
      <c r="Q50" s="21"/>
      <c r="R50" s="21"/>
      <c r="S50" s="21"/>
      <c r="T50" s="21"/>
      <c r="U50" s="21"/>
      <c r="V50" s="21"/>
      <c r="W50" s="21"/>
      <c r="X50" s="21"/>
      <c r="Y50" s="21"/>
      <c r="Z50" s="21"/>
      <c r="AA50" s="21"/>
      <c r="AB50" s="21"/>
      <c r="AC50" s="21"/>
      <c r="AD50" s="21"/>
      <c r="AE50" s="21"/>
      <c r="AF50" s="21"/>
      <c r="AG50" s="21"/>
      <c r="AH50" s="21"/>
      <c r="AI50" s="21"/>
      <c r="AJ50" s="21"/>
    </row>
    <row r="51" spans="11:36" x14ac:dyDescent="0.15">
      <c r="K51" s="21"/>
      <c r="L51" s="7"/>
      <c r="M51" s="85"/>
      <c r="N51" s="21"/>
      <c r="O51" s="21"/>
      <c r="P51" s="21"/>
      <c r="Q51" s="21"/>
      <c r="R51" s="21"/>
      <c r="S51" s="21"/>
      <c r="T51" s="21"/>
      <c r="U51" s="21"/>
      <c r="V51" s="21"/>
      <c r="W51" s="21"/>
      <c r="X51" s="21"/>
      <c r="Y51" s="21"/>
      <c r="Z51" s="21"/>
      <c r="AA51" s="21"/>
      <c r="AB51" s="21"/>
      <c r="AC51" s="21"/>
      <c r="AD51" s="21"/>
      <c r="AE51" s="21"/>
      <c r="AF51" s="21"/>
      <c r="AG51" s="21"/>
      <c r="AH51" s="21"/>
      <c r="AI51" s="21"/>
      <c r="AJ51" s="21"/>
    </row>
    <row r="52" spans="11:36" x14ac:dyDescent="0.15">
      <c r="K52" s="21"/>
      <c r="L52" s="7"/>
      <c r="M52" s="85"/>
      <c r="N52" s="21"/>
      <c r="O52" s="21"/>
      <c r="P52" s="21"/>
      <c r="Q52" s="21"/>
      <c r="R52" s="21"/>
      <c r="S52" s="21"/>
      <c r="T52" s="21"/>
      <c r="U52" s="21"/>
      <c r="V52" s="21"/>
      <c r="W52" s="21"/>
      <c r="X52" s="21"/>
      <c r="Y52" s="21"/>
      <c r="Z52" s="21"/>
      <c r="AA52" s="21"/>
      <c r="AB52" s="21"/>
      <c r="AC52" s="21"/>
      <c r="AD52" s="21"/>
      <c r="AE52" s="21"/>
      <c r="AF52" s="21"/>
      <c r="AG52" s="21"/>
      <c r="AH52" s="21"/>
      <c r="AI52" s="21"/>
      <c r="AJ52" s="21"/>
    </row>
    <row r="53" spans="11:36" x14ac:dyDescent="0.15">
      <c r="K53" s="21"/>
      <c r="L53" s="7"/>
      <c r="M53" s="85"/>
      <c r="N53" s="21"/>
      <c r="O53" s="21"/>
      <c r="P53" s="21"/>
      <c r="Q53" s="21"/>
      <c r="R53" s="21"/>
      <c r="S53" s="21"/>
      <c r="T53" s="21"/>
      <c r="U53" s="21"/>
      <c r="V53" s="21"/>
      <c r="W53" s="21"/>
      <c r="X53" s="21"/>
      <c r="Y53" s="21"/>
      <c r="Z53" s="21"/>
      <c r="AA53" s="21"/>
      <c r="AB53" s="21"/>
      <c r="AC53" s="21"/>
      <c r="AD53" s="21"/>
      <c r="AE53" s="21"/>
      <c r="AF53" s="21"/>
      <c r="AG53" s="21"/>
      <c r="AH53" s="21"/>
      <c r="AI53" s="21"/>
      <c r="AJ53" s="21"/>
    </row>
    <row r="54" spans="11:36" x14ac:dyDescent="0.15">
      <c r="K54" s="21"/>
      <c r="L54" s="7"/>
      <c r="M54" s="85"/>
      <c r="N54" s="21"/>
      <c r="O54" s="21"/>
      <c r="P54" s="21"/>
      <c r="Q54" s="21"/>
      <c r="R54" s="21"/>
      <c r="S54" s="21"/>
      <c r="T54" s="21"/>
      <c r="U54" s="21"/>
      <c r="V54" s="21"/>
      <c r="W54" s="21"/>
      <c r="X54" s="21"/>
      <c r="Y54" s="21"/>
      <c r="Z54" s="21"/>
      <c r="AA54" s="21"/>
      <c r="AB54" s="21"/>
      <c r="AC54" s="21"/>
      <c r="AD54" s="21"/>
      <c r="AE54" s="21"/>
      <c r="AF54" s="21"/>
      <c r="AG54" s="21"/>
      <c r="AH54" s="21"/>
      <c r="AI54" s="21"/>
      <c r="AJ54" s="21"/>
    </row>
    <row r="55" spans="11:36" x14ac:dyDescent="0.15">
      <c r="K55" s="21"/>
      <c r="L55" s="7"/>
      <c r="M55" s="85"/>
      <c r="N55" s="21"/>
      <c r="O55" s="21"/>
      <c r="P55" s="21"/>
      <c r="Q55" s="21"/>
      <c r="R55" s="21"/>
      <c r="S55" s="21"/>
      <c r="T55" s="21"/>
      <c r="U55" s="21"/>
      <c r="V55" s="21"/>
      <c r="W55" s="21"/>
      <c r="X55" s="21"/>
      <c r="Y55" s="21"/>
      <c r="Z55" s="21"/>
      <c r="AA55" s="21"/>
      <c r="AB55" s="21"/>
      <c r="AC55" s="21"/>
      <c r="AD55" s="21"/>
      <c r="AE55" s="21"/>
      <c r="AF55" s="21"/>
      <c r="AG55" s="21"/>
      <c r="AH55" s="21"/>
      <c r="AI55" s="21"/>
      <c r="AJ55" s="21"/>
    </row>
    <row r="56" spans="11:36" x14ac:dyDescent="0.15">
      <c r="K56" s="21"/>
      <c r="L56" s="7"/>
      <c r="M56" s="85"/>
      <c r="N56" s="21"/>
      <c r="O56" s="21"/>
      <c r="P56" s="21"/>
      <c r="Q56" s="21"/>
      <c r="R56" s="21"/>
      <c r="S56" s="21"/>
      <c r="T56" s="21"/>
      <c r="U56" s="21"/>
      <c r="V56" s="21"/>
      <c r="W56" s="21"/>
      <c r="X56" s="21"/>
      <c r="Y56" s="21"/>
      <c r="Z56" s="21"/>
      <c r="AA56" s="21"/>
      <c r="AB56" s="21"/>
      <c r="AC56" s="21"/>
      <c r="AD56" s="21"/>
      <c r="AE56" s="21"/>
      <c r="AF56" s="21"/>
      <c r="AG56" s="21"/>
      <c r="AH56" s="21"/>
      <c r="AI56" s="21"/>
      <c r="AJ56" s="21"/>
    </row>
    <row r="57" spans="11:36" x14ac:dyDescent="0.15">
      <c r="K57" s="21"/>
      <c r="L57" s="7"/>
      <c r="M57" s="85"/>
      <c r="N57" s="21"/>
      <c r="O57" s="21"/>
      <c r="P57" s="21"/>
      <c r="Q57" s="21"/>
      <c r="R57" s="21"/>
      <c r="S57" s="21"/>
      <c r="T57" s="21"/>
      <c r="U57" s="21"/>
      <c r="V57" s="21"/>
      <c r="W57" s="21"/>
      <c r="X57" s="21"/>
      <c r="Y57" s="21"/>
      <c r="Z57" s="21"/>
      <c r="AA57" s="21"/>
      <c r="AB57" s="21"/>
      <c r="AC57" s="21"/>
      <c r="AD57" s="21"/>
      <c r="AE57" s="21"/>
      <c r="AF57" s="21"/>
      <c r="AG57" s="21"/>
      <c r="AH57" s="21"/>
      <c r="AI57" s="21"/>
      <c r="AJ57" s="21"/>
    </row>
    <row r="58" spans="11:36" x14ac:dyDescent="0.15">
      <c r="K58" s="21"/>
      <c r="L58" s="7"/>
      <c r="M58" s="85"/>
      <c r="N58" s="21"/>
      <c r="O58" s="21"/>
      <c r="P58" s="21"/>
      <c r="Q58" s="21"/>
      <c r="R58" s="21"/>
      <c r="S58" s="21"/>
      <c r="T58" s="21"/>
      <c r="U58" s="21"/>
      <c r="V58" s="21"/>
      <c r="W58" s="21"/>
      <c r="X58" s="21"/>
      <c r="Y58" s="21"/>
      <c r="Z58" s="21"/>
      <c r="AA58" s="21"/>
      <c r="AB58" s="21"/>
      <c r="AC58" s="21"/>
      <c r="AD58" s="21"/>
      <c r="AE58" s="21"/>
      <c r="AF58" s="21"/>
      <c r="AG58" s="21"/>
      <c r="AH58" s="21"/>
      <c r="AI58" s="21"/>
      <c r="AJ58" s="21"/>
    </row>
    <row r="59" spans="11:36" x14ac:dyDescent="0.15">
      <c r="K59" s="21"/>
      <c r="L59" s="7"/>
      <c r="M59" s="85"/>
      <c r="N59" s="21"/>
      <c r="O59" s="21"/>
      <c r="P59" s="21"/>
      <c r="Q59" s="21"/>
      <c r="R59" s="21"/>
      <c r="S59" s="21"/>
      <c r="T59" s="21"/>
      <c r="U59" s="21"/>
      <c r="V59" s="21"/>
      <c r="W59" s="21"/>
      <c r="X59" s="21"/>
      <c r="Y59" s="21"/>
      <c r="Z59" s="21"/>
      <c r="AA59" s="21"/>
      <c r="AB59" s="21"/>
      <c r="AC59" s="21"/>
      <c r="AD59" s="21"/>
      <c r="AE59" s="21"/>
      <c r="AF59" s="21"/>
      <c r="AG59" s="21"/>
      <c r="AH59" s="21"/>
      <c r="AI59" s="21"/>
      <c r="AJ59" s="21"/>
    </row>
    <row r="60" spans="11:36" x14ac:dyDescent="0.15">
      <c r="K60" s="21"/>
      <c r="L60" s="7"/>
      <c r="M60" s="85"/>
      <c r="N60" s="21"/>
      <c r="O60" s="21"/>
      <c r="P60" s="21"/>
      <c r="Q60" s="21"/>
      <c r="R60" s="21"/>
      <c r="S60" s="21"/>
      <c r="T60" s="21"/>
      <c r="U60" s="21"/>
      <c r="V60" s="21"/>
      <c r="W60" s="21"/>
      <c r="X60" s="21"/>
      <c r="Y60" s="21"/>
      <c r="Z60" s="21"/>
      <c r="AA60" s="21"/>
      <c r="AB60" s="21"/>
      <c r="AC60" s="21"/>
      <c r="AD60" s="21"/>
      <c r="AE60" s="21"/>
      <c r="AF60" s="21"/>
      <c r="AG60" s="21"/>
      <c r="AH60" s="21"/>
      <c r="AI60" s="21"/>
      <c r="AJ60" s="21"/>
    </row>
    <row r="61" spans="11:36" x14ac:dyDescent="0.15">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row>
    <row r="62" spans="11:36" x14ac:dyDescent="0.15">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row>
    <row r="63" spans="11:36" x14ac:dyDescent="0.15">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row>
    <row r="64" spans="11:36" x14ac:dyDescent="0.15">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row>
  </sheetData>
  <mergeCells count="2">
    <mergeCell ref="A21:C21"/>
    <mergeCell ref="E21:I21"/>
  </mergeCells>
  <phoneticPr fontId="2"/>
  <pageMargins left="0.70866141732283472" right="0.70866141732283472" top="0.74803149606299213" bottom="0.74803149606299213" header="0.31496062992125984" footer="0.31496062992125984"/>
  <pageSetup paperSize="11" scale="4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Button 1">
              <controlPr defaultSize="0" print="0" autoFill="0" autoPict="0" macro="[0]!データ削除_退院阻害要因">
                <anchor moveWithCells="1" sizeWithCells="1">
                  <from>
                    <xdr:col>11</xdr:col>
                    <xdr:colOff>0</xdr:colOff>
                    <xdr:row>3</xdr:row>
                    <xdr:rowOff>190500</xdr:rowOff>
                  </from>
                  <to>
                    <xdr:col>11</xdr:col>
                    <xdr:colOff>2105025</xdr:colOff>
                    <xdr:row>5</xdr:row>
                    <xdr:rowOff>200025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FFC000"/>
  </sheetPr>
  <dimension ref="A1:R101"/>
  <sheetViews>
    <sheetView showGridLines="0" view="pageBreakPreview" zoomScaleNormal="100" zoomScaleSheetLayoutView="100" workbookViewId="0">
      <selection activeCell="W17" sqref="W17"/>
    </sheetView>
  </sheetViews>
  <sheetFormatPr defaultRowHeight="18.75" x14ac:dyDescent="0.15"/>
  <cols>
    <col min="1" max="1" width="18.25" style="1" customWidth="1"/>
    <col min="2" max="3" width="9.375" style="1" customWidth="1"/>
    <col min="4" max="4" width="3.375" style="1" customWidth="1"/>
    <col min="5" max="5" width="18.25" style="1" customWidth="1"/>
    <col min="6" max="7" width="9.375" style="1" customWidth="1"/>
    <col min="8" max="8" width="9" style="1"/>
    <col min="9" max="13" width="12" style="1" hidden="1" customWidth="1"/>
    <col min="14" max="18" width="9" style="1" hidden="1" customWidth="1"/>
    <col min="19" max="16384" width="9" style="1"/>
  </cols>
  <sheetData>
    <row r="1" spans="1:15" s="3" customFormat="1" ht="19.5" x14ac:dyDescent="0.15">
      <c r="A1" s="2" t="s">
        <v>204</v>
      </c>
    </row>
    <row r="2" spans="1:15" s="3" customFormat="1" ht="19.5" x14ac:dyDescent="0.15">
      <c r="A2" s="2"/>
      <c r="I2" s="55" t="s">
        <v>63</v>
      </c>
    </row>
    <row r="3" spans="1:15" ht="20.25" thickBot="1" x14ac:dyDescent="0.2">
      <c r="A3" s="4" t="s">
        <v>13</v>
      </c>
      <c r="E3" s="4" t="s">
        <v>113</v>
      </c>
      <c r="I3" s="383" t="s">
        <v>298</v>
      </c>
      <c r="J3" s="480" t="s">
        <v>278</v>
      </c>
      <c r="K3" s="3"/>
      <c r="L3" s="383" t="s">
        <v>298</v>
      </c>
      <c r="M3" s="487" t="s">
        <v>275</v>
      </c>
    </row>
    <row r="4" spans="1:15" ht="20.25" thickTop="1" thickBot="1" x14ac:dyDescent="0.2">
      <c r="A4" s="331"/>
      <c r="B4" s="332" t="s">
        <v>0</v>
      </c>
      <c r="C4" s="332" t="s">
        <v>1</v>
      </c>
      <c r="E4" s="331"/>
      <c r="F4" s="332" t="s">
        <v>0</v>
      </c>
      <c r="G4" s="332" t="s">
        <v>1</v>
      </c>
      <c r="I4" s="416" t="s">
        <v>373</v>
      </c>
      <c r="J4" s="34" t="s">
        <v>611</v>
      </c>
      <c r="L4" s="416" t="s">
        <v>373</v>
      </c>
      <c r="M4" s="34" t="s">
        <v>611</v>
      </c>
    </row>
    <row r="5" spans="1:15" ht="19.5" thickTop="1" x14ac:dyDescent="0.15">
      <c r="A5" s="298" t="s">
        <v>94</v>
      </c>
      <c r="B5" s="330">
        <f>IFERROR(VLOOKUP($O5,年齢区分＿65歳以上[#All],2,FALSE),0)</f>
        <v>1277</v>
      </c>
      <c r="C5" s="458">
        <f>IFERROR(B5/B$11,"-")</f>
        <v>0.1409959147620625</v>
      </c>
      <c r="E5" s="298" t="s">
        <v>94</v>
      </c>
      <c r="F5" s="330">
        <f>IFERROR(VLOOKUP($O5,年齢区分＿65歳以上＿寛解・院内寛解[#All],2,FALSE),0)</f>
        <v>135</v>
      </c>
      <c r="G5" s="458">
        <f>IFERROR(F5/F$11,"-")</f>
        <v>0.16187050359712229</v>
      </c>
      <c r="I5" s="55" t="s">
        <v>300</v>
      </c>
      <c r="J5" s="376">
        <v>1277</v>
      </c>
      <c r="K5" s="11"/>
      <c r="L5" s="55" t="s">
        <v>300</v>
      </c>
      <c r="M5" s="376">
        <v>135</v>
      </c>
      <c r="O5" s="421" t="s">
        <v>300</v>
      </c>
    </row>
    <row r="6" spans="1:15" x14ac:dyDescent="0.15">
      <c r="A6" s="298" t="s">
        <v>95</v>
      </c>
      <c r="B6" s="330">
        <f>IFERROR(VLOOKUP($O6,年齢区分＿65歳以上[#All],2,FALSE),0)</f>
        <v>2013</v>
      </c>
      <c r="C6" s="458">
        <f t="shared" ref="C6:C10" si="0">IFERROR(B6/B$11,"-")</f>
        <v>0.22225902616760518</v>
      </c>
      <c r="E6" s="298" t="s">
        <v>95</v>
      </c>
      <c r="F6" s="258">
        <f>IFERROR(VLOOKUP($O6,年齢区分＿65歳以上＿寛解・院内寛解[#All],2,FALSE),0)</f>
        <v>184</v>
      </c>
      <c r="G6" s="458">
        <f t="shared" ref="G6:G10" si="1">IFERROR(F6/F$11,"-")</f>
        <v>0.22062350119904076</v>
      </c>
      <c r="I6" s="55" t="s">
        <v>301</v>
      </c>
      <c r="J6" s="376">
        <v>2013</v>
      </c>
      <c r="K6" s="14"/>
      <c r="L6" s="55" t="s">
        <v>301</v>
      </c>
      <c r="M6" s="376">
        <v>184</v>
      </c>
      <c r="O6" s="379" t="s">
        <v>301</v>
      </c>
    </row>
    <row r="7" spans="1:15" x14ac:dyDescent="0.15">
      <c r="A7" s="298" t="s">
        <v>96</v>
      </c>
      <c r="B7" s="330">
        <f>IFERROR(VLOOKUP($O7,年齢区分＿65歳以上[#All],2,FALSE),0)</f>
        <v>1715</v>
      </c>
      <c r="C7" s="458">
        <f t="shared" si="0"/>
        <v>0.1893562989952523</v>
      </c>
      <c r="E7" s="298" t="s">
        <v>96</v>
      </c>
      <c r="F7" s="258">
        <f>IFERROR(VLOOKUP($O7,年齢区分＿65歳以上＿寛解・院内寛解[#All],2,FALSE),0)</f>
        <v>176</v>
      </c>
      <c r="G7" s="458">
        <f t="shared" si="1"/>
        <v>0.21103117505995203</v>
      </c>
      <c r="I7" s="55" t="s">
        <v>302</v>
      </c>
      <c r="J7" s="376">
        <v>1715</v>
      </c>
      <c r="K7" s="14"/>
      <c r="L7" s="55" t="s">
        <v>302</v>
      </c>
      <c r="M7" s="376">
        <v>176</v>
      </c>
      <c r="O7" s="379" t="s">
        <v>302</v>
      </c>
    </row>
    <row r="8" spans="1:15" x14ac:dyDescent="0.15">
      <c r="A8" s="298" t="s">
        <v>97</v>
      </c>
      <c r="B8" s="330">
        <f>IFERROR(VLOOKUP($O8,年齢区分＿65歳以上[#All],2,FALSE),0)</f>
        <v>1901</v>
      </c>
      <c r="C8" s="458">
        <f t="shared" si="0"/>
        <v>0.20989290051893564</v>
      </c>
      <c r="E8" s="298" t="s">
        <v>97</v>
      </c>
      <c r="F8" s="258">
        <f>IFERROR(VLOOKUP($O8,年齢区分＿65歳以上＿寛解・院内寛解[#All],2,FALSE),0)</f>
        <v>150</v>
      </c>
      <c r="G8" s="458">
        <f t="shared" si="1"/>
        <v>0.17985611510791366</v>
      </c>
      <c r="I8" s="55" t="s">
        <v>303</v>
      </c>
      <c r="J8" s="376">
        <v>1901</v>
      </c>
      <c r="K8" s="17"/>
      <c r="L8" s="55" t="s">
        <v>303</v>
      </c>
      <c r="M8" s="376">
        <v>150</v>
      </c>
      <c r="O8" s="379" t="s">
        <v>303</v>
      </c>
    </row>
    <row r="9" spans="1:15" x14ac:dyDescent="0.15">
      <c r="A9" s="298" t="s">
        <v>98</v>
      </c>
      <c r="B9" s="330">
        <f>IFERROR(VLOOKUP($O9,年齢区分＿65歳以上[#All],2,FALSE),0)</f>
        <v>1413</v>
      </c>
      <c r="C9" s="458">
        <f t="shared" si="0"/>
        <v>0.15601192447830409</v>
      </c>
      <c r="E9" s="298" t="s">
        <v>98</v>
      </c>
      <c r="F9" s="258">
        <f>IFERROR(VLOOKUP($O9,年齢区分＿65歳以上＿寛解・院内寛解[#All],2,FALSE),0)</f>
        <v>138</v>
      </c>
      <c r="G9" s="458">
        <f t="shared" si="1"/>
        <v>0.16546762589928057</v>
      </c>
      <c r="I9" s="55" t="s">
        <v>304</v>
      </c>
      <c r="J9" s="376">
        <v>1413</v>
      </c>
      <c r="K9" s="17"/>
      <c r="L9" s="55" t="s">
        <v>304</v>
      </c>
      <c r="M9" s="376">
        <v>138</v>
      </c>
      <c r="O9" s="379" t="s">
        <v>304</v>
      </c>
    </row>
    <row r="10" spans="1:15" x14ac:dyDescent="0.15">
      <c r="A10" s="298" t="s">
        <v>162</v>
      </c>
      <c r="B10" s="330">
        <f>IFERROR(VLOOKUP($O10,年齢区分＿65歳以上[#All],2,FALSE),0)</f>
        <v>738</v>
      </c>
      <c r="C10" s="458">
        <f t="shared" si="0"/>
        <v>8.1483935077840339E-2</v>
      </c>
      <c r="E10" s="298" t="s">
        <v>162</v>
      </c>
      <c r="F10" s="258">
        <f>IFERROR(VLOOKUP($O10,年齢区分＿65歳以上＿寛解・院内寛解[#All],2,FALSE),0)</f>
        <v>51</v>
      </c>
      <c r="G10" s="458">
        <f t="shared" si="1"/>
        <v>6.1151079136690649E-2</v>
      </c>
      <c r="I10" s="55" t="s">
        <v>10</v>
      </c>
      <c r="J10" s="376">
        <v>738</v>
      </c>
      <c r="K10" s="17"/>
      <c r="L10" s="55" t="s">
        <v>10</v>
      </c>
      <c r="M10" s="376">
        <v>51</v>
      </c>
      <c r="O10" s="379" t="s">
        <v>10</v>
      </c>
    </row>
    <row r="11" spans="1:15" x14ac:dyDescent="0.15">
      <c r="A11" s="331" t="s">
        <v>160</v>
      </c>
      <c r="B11" s="333">
        <f>SUM(B5:B10)</f>
        <v>9057</v>
      </c>
      <c r="C11" s="334">
        <f>SUM(C5:C10)</f>
        <v>1</v>
      </c>
      <c r="E11" s="331" t="s">
        <v>160</v>
      </c>
      <c r="F11" s="333">
        <f>SUM(F5:F10)</f>
        <v>834</v>
      </c>
      <c r="G11" s="334">
        <f>SUM(G5:G10)</f>
        <v>0.99999999999999989</v>
      </c>
      <c r="I11" s="55"/>
      <c r="J11" s="376"/>
      <c r="K11" s="17"/>
      <c r="L11" s="55"/>
      <c r="M11" s="376"/>
    </row>
    <row r="12" spans="1:15" x14ac:dyDescent="0.15">
      <c r="A12" s="298" t="s">
        <v>202</v>
      </c>
      <c r="B12" s="299">
        <f>B5+B6</f>
        <v>3290</v>
      </c>
      <c r="C12" s="458">
        <f>IFERROR(B12/B$11,"-")</f>
        <v>0.36325494092966765</v>
      </c>
      <c r="E12" s="298" t="s">
        <v>202</v>
      </c>
      <c r="F12" s="299">
        <f>F5+F6</f>
        <v>319</v>
      </c>
      <c r="G12" s="458">
        <f>IFERROR(F12/F$11,"-")</f>
        <v>0.38249400479616308</v>
      </c>
      <c r="I12" s="55"/>
      <c r="J12" s="376"/>
      <c r="K12" s="17"/>
      <c r="L12" s="55"/>
      <c r="M12" s="376"/>
    </row>
    <row r="13" spans="1:15" x14ac:dyDescent="0.15">
      <c r="A13" s="298" t="s">
        <v>203</v>
      </c>
      <c r="B13" s="299">
        <f>B7+B8+B9+B10</f>
        <v>5767</v>
      </c>
      <c r="C13" s="458">
        <f>IFERROR(B13/B$11,"-")</f>
        <v>0.6367450590703323</v>
      </c>
      <c r="E13" s="298" t="s">
        <v>203</v>
      </c>
      <c r="F13" s="299">
        <f>F7+F8+F9+F10</f>
        <v>515</v>
      </c>
      <c r="G13" s="458">
        <f>IFERROR(F13/F$11,"-")</f>
        <v>0.61750599520383698</v>
      </c>
      <c r="I13" s="55"/>
      <c r="J13" s="376"/>
      <c r="K13" s="17"/>
      <c r="L13" s="55"/>
      <c r="M13" s="376"/>
    </row>
    <row r="14" spans="1:15" ht="19.5" customHeight="1" x14ac:dyDescent="0.15">
      <c r="I14" s="15"/>
      <c r="J14" s="60"/>
      <c r="K14" s="17"/>
      <c r="L14" s="15"/>
      <c r="M14" s="60"/>
    </row>
    <row r="15" spans="1:15" ht="19.5" customHeight="1" x14ac:dyDescent="0.15">
      <c r="K15" s="141"/>
    </row>
    <row r="16" spans="1:15" ht="19.5" customHeight="1" x14ac:dyDescent="0.15">
      <c r="K16" s="141"/>
    </row>
    <row r="17" spans="1:11" ht="19.5" customHeight="1" x14ac:dyDescent="0.15">
      <c r="K17" s="141"/>
    </row>
    <row r="18" spans="1:11" ht="19.5" customHeight="1" x14ac:dyDescent="0.15">
      <c r="K18" s="141"/>
    </row>
    <row r="19" spans="1:11" ht="19.5" customHeight="1" x14ac:dyDescent="0.15">
      <c r="K19" s="141"/>
    </row>
    <row r="20" spans="1:11" ht="19.5" customHeight="1" x14ac:dyDescent="0.15">
      <c r="K20" s="141"/>
    </row>
    <row r="21" spans="1:11" ht="19.5" customHeight="1" x14ac:dyDescent="0.15">
      <c r="K21" s="141"/>
    </row>
    <row r="22" spans="1:11" ht="19.5" customHeight="1" x14ac:dyDescent="0.15">
      <c r="K22" s="141"/>
    </row>
    <row r="23" spans="1:11" x14ac:dyDescent="0.15">
      <c r="A23" s="136"/>
      <c r="B23" s="172"/>
      <c r="C23" s="173"/>
      <c r="K23" s="141"/>
    </row>
    <row r="24" spans="1:11" x14ac:dyDescent="0.15">
      <c r="A24" s="147"/>
      <c r="B24" s="174"/>
      <c r="C24" s="175"/>
    </row>
    <row r="25" spans="1:11" x14ac:dyDescent="0.15">
      <c r="A25" s="147"/>
      <c r="B25" s="174"/>
      <c r="C25" s="175"/>
    </row>
    <row r="26" spans="1:11" x14ac:dyDescent="0.15">
      <c r="A26" s="147"/>
      <c r="B26" s="174"/>
      <c r="C26" s="175"/>
    </row>
    <row r="28" spans="1:11" x14ac:dyDescent="0.15">
      <c r="D28" s="4"/>
    </row>
    <row r="29" spans="1:11" x14ac:dyDescent="0.15">
      <c r="D29" s="4"/>
    </row>
    <row r="32" spans="1:11" x14ac:dyDescent="0.15">
      <c r="B32" s="139"/>
      <c r="C32" s="32"/>
      <c r="D32" s="32"/>
    </row>
    <row r="33" spans="1:8" x14ac:dyDescent="0.15">
      <c r="B33" s="37"/>
      <c r="C33" s="38"/>
      <c r="D33" s="35"/>
      <c r="G33" s="38"/>
      <c r="H33" s="38"/>
    </row>
    <row r="34" spans="1:8" x14ac:dyDescent="0.15">
      <c r="B34" s="37"/>
      <c r="C34" s="38"/>
      <c r="D34" s="35"/>
      <c r="G34" s="38"/>
      <c r="H34" s="38"/>
    </row>
    <row r="35" spans="1:8" x14ac:dyDescent="0.15">
      <c r="B35" s="37"/>
      <c r="C35" s="38"/>
      <c r="D35" s="35"/>
      <c r="G35" s="38"/>
      <c r="H35" s="38"/>
    </row>
    <row r="36" spans="1:8" x14ac:dyDescent="0.15">
      <c r="B36" s="37"/>
      <c r="C36" s="38"/>
      <c r="D36" s="35"/>
      <c r="G36" s="38"/>
      <c r="H36" s="38"/>
    </row>
    <row r="37" spans="1:8" x14ac:dyDescent="0.15">
      <c r="A37" s="21"/>
      <c r="B37" s="7"/>
      <c r="C37" s="8"/>
      <c r="D37" s="48"/>
      <c r="E37" s="21"/>
      <c r="G37" s="8"/>
      <c r="H37" s="8"/>
    </row>
    <row r="38" spans="1:8" x14ac:dyDescent="0.15">
      <c r="A38" s="21"/>
      <c r="B38" s="7"/>
      <c r="C38" s="8"/>
      <c r="D38" s="48"/>
      <c r="E38" s="21"/>
      <c r="F38" s="21"/>
      <c r="G38" s="8"/>
      <c r="H38" s="8"/>
    </row>
    <row r="39" spans="1:8" x14ac:dyDescent="0.15">
      <c r="A39" s="21"/>
      <c r="B39" s="7"/>
      <c r="C39" s="8"/>
      <c r="D39" s="48"/>
      <c r="E39" s="21"/>
      <c r="F39" s="21"/>
      <c r="G39" s="8"/>
      <c r="H39" s="8"/>
    </row>
    <row r="40" spans="1:8" x14ac:dyDescent="0.15">
      <c r="A40" s="21"/>
      <c r="B40" s="7"/>
      <c r="C40" s="8"/>
      <c r="D40" s="48"/>
      <c r="E40" s="21"/>
      <c r="F40" s="21"/>
      <c r="G40" s="8"/>
      <c r="H40" s="8"/>
    </row>
    <row r="41" spans="1:8" x14ac:dyDescent="0.15">
      <c r="A41" s="21"/>
      <c r="B41" s="7"/>
      <c r="C41" s="8"/>
      <c r="D41" s="48"/>
      <c r="E41" s="21"/>
      <c r="F41" s="21"/>
      <c r="G41" s="8"/>
      <c r="H41" s="8"/>
    </row>
    <row r="42" spans="1:8" x14ac:dyDescent="0.15">
      <c r="A42" s="21"/>
      <c r="B42" s="7"/>
      <c r="C42" s="8"/>
      <c r="D42" s="48"/>
      <c r="E42" s="21"/>
      <c r="F42" s="21"/>
      <c r="G42" s="8"/>
      <c r="H42" s="8"/>
    </row>
    <row r="43" spans="1:8" x14ac:dyDescent="0.15">
      <c r="A43" s="21"/>
      <c r="B43" s="7"/>
      <c r="C43" s="8"/>
      <c r="D43" s="48"/>
      <c r="E43" s="21"/>
      <c r="F43" s="21"/>
      <c r="G43" s="8"/>
      <c r="H43" s="8"/>
    </row>
    <row r="44" spans="1:8" x14ac:dyDescent="0.15">
      <c r="A44" s="21"/>
      <c r="B44" s="7"/>
      <c r="C44" s="8"/>
      <c r="D44" s="48"/>
      <c r="E44" s="21"/>
      <c r="F44" s="21"/>
      <c r="G44" s="8"/>
      <c r="H44" s="8"/>
    </row>
    <row r="45" spans="1:8" x14ac:dyDescent="0.15">
      <c r="A45" s="21"/>
      <c r="B45" s="7"/>
      <c r="C45" s="8"/>
      <c r="D45" s="48"/>
      <c r="E45" s="21"/>
      <c r="F45" s="21"/>
      <c r="G45" s="8"/>
      <c r="H45" s="8"/>
    </row>
    <row r="46" spans="1:8" x14ac:dyDescent="0.15">
      <c r="A46" s="21"/>
      <c r="B46" s="7"/>
      <c r="C46" s="8"/>
      <c r="D46" s="48"/>
      <c r="E46" s="21"/>
      <c r="F46" s="21"/>
      <c r="G46" s="8"/>
      <c r="H46" s="8"/>
    </row>
    <row r="47" spans="1:8" x14ac:dyDescent="0.15">
      <c r="A47" s="21"/>
      <c r="B47" s="7"/>
      <c r="C47" s="8"/>
      <c r="D47" s="48"/>
      <c r="E47" s="21"/>
      <c r="F47" s="21"/>
      <c r="G47" s="8"/>
      <c r="H47" s="8"/>
    </row>
    <row r="48" spans="1:8" x14ac:dyDescent="0.15">
      <c r="A48" s="21"/>
      <c r="B48" s="7"/>
      <c r="C48" s="8"/>
      <c r="D48" s="48"/>
      <c r="E48" s="21"/>
      <c r="F48" s="21"/>
      <c r="G48" s="8"/>
      <c r="H48" s="8"/>
    </row>
    <row r="49" spans="1:8" x14ac:dyDescent="0.15">
      <c r="A49" s="21"/>
      <c r="B49" s="7"/>
      <c r="C49" s="8"/>
      <c r="D49" s="48"/>
      <c r="E49" s="21"/>
      <c r="F49" s="21"/>
      <c r="G49" s="8"/>
      <c r="H49" s="8"/>
    </row>
    <row r="50" spans="1:8" x14ac:dyDescent="0.15">
      <c r="A50" s="21"/>
      <c r="B50" s="7"/>
      <c r="C50" s="8"/>
      <c r="D50" s="48"/>
      <c r="E50" s="21"/>
      <c r="F50" s="21"/>
      <c r="G50" s="8"/>
      <c r="H50" s="8"/>
    </row>
    <row r="51" spans="1:8" x14ac:dyDescent="0.15">
      <c r="A51" s="21"/>
      <c r="B51" s="7"/>
      <c r="C51" s="8"/>
      <c r="D51" s="48"/>
      <c r="E51" s="21"/>
      <c r="F51" s="21"/>
      <c r="G51" s="8"/>
      <c r="H51" s="8"/>
    </row>
    <row r="52" spans="1:8" x14ac:dyDescent="0.15">
      <c r="A52" s="21"/>
      <c r="B52" s="7"/>
      <c r="C52" s="8"/>
      <c r="D52" s="48"/>
      <c r="E52" s="21"/>
      <c r="F52" s="21"/>
      <c r="G52" s="8"/>
      <c r="H52" s="8"/>
    </row>
    <row r="53" spans="1:8" x14ac:dyDescent="0.15">
      <c r="A53" s="21"/>
      <c r="B53" s="7"/>
      <c r="C53" s="8"/>
      <c r="D53" s="48"/>
      <c r="E53" s="21"/>
      <c r="F53" s="21"/>
      <c r="G53" s="8"/>
      <c r="H53" s="8"/>
    </row>
    <row r="54" spans="1:8" x14ac:dyDescent="0.15">
      <c r="A54" s="21"/>
      <c r="B54" s="7"/>
      <c r="C54" s="8"/>
      <c r="D54" s="48"/>
      <c r="E54" s="21"/>
      <c r="F54" s="21"/>
      <c r="G54" s="8"/>
      <c r="H54" s="8"/>
    </row>
    <row r="55" spans="1:8" x14ac:dyDescent="0.15">
      <c r="A55" s="21"/>
      <c r="B55" s="7"/>
      <c r="C55" s="8"/>
      <c r="D55" s="48"/>
      <c r="E55" s="21"/>
      <c r="F55" s="21"/>
      <c r="G55" s="8"/>
      <c r="H55" s="8"/>
    </row>
    <row r="56" spans="1:8" x14ac:dyDescent="0.15">
      <c r="A56" s="21"/>
      <c r="B56" s="7"/>
      <c r="C56" s="8"/>
      <c r="D56" s="48"/>
      <c r="E56" s="21"/>
      <c r="F56" s="21"/>
      <c r="G56" s="8"/>
      <c r="H56" s="8"/>
    </row>
    <row r="57" spans="1:8" x14ac:dyDescent="0.15">
      <c r="A57" s="21"/>
      <c r="B57" s="7"/>
      <c r="C57" s="8"/>
      <c r="D57" s="48"/>
      <c r="E57" s="21"/>
      <c r="F57" s="21"/>
      <c r="G57" s="8"/>
      <c r="H57" s="8"/>
    </row>
    <row r="58" spans="1:8" x14ac:dyDescent="0.15">
      <c r="A58" s="21"/>
      <c r="B58" s="7"/>
      <c r="C58" s="8"/>
      <c r="D58" s="48"/>
      <c r="E58" s="21"/>
      <c r="F58" s="21"/>
      <c r="G58" s="8"/>
      <c r="H58" s="8"/>
    </row>
    <row r="59" spans="1:8" x14ac:dyDescent="0.15">
      <c r="A59" s="21"/>
      <c r="B59" s="7"/>
      <c r="C59" s="8"/>
      <c r="D59" s="48"/>
      <c r="E59" s="21"/>
      <c r="F59" s="21"/>
      <c r="G59" s="8"/>
      <c r="H59" s="8"/>
    </row>
    <row r="60" spans="1:8" x14ac:dyDescent="0.15">
      <c r="A60" s="21"/>
      <c r="B60" s="7"/>
      <c r="C60" s="8"/>
      <c r="D60" s="48"/>
      <c r="E60" s="21"/>
      <c r="F60" s="21"/>
      <c r="G60" s="8"/>
      <c r="H60" s="8"/>
    </row>
    <row r="61" spans="1:8" x14ac:dyDescent="0.15">
      <c r="A61" s="21"/>
      <c r="B61" s="7"/>
      <c r="C61" s="8"/>
      <c r="D61" s="48"/>
      <c r="E61" s="21"/>
      <c r="F61" s="21"/>
      <c r="G61" s="8"/>
      <c r="H61" s="8"/>
    </row>
    <row r="62" spans="1:8" x14ac:dyDescent="0.15">
      <c r="A62" s="21"/>
      <c r="B62" s="7"/>
      <c r="C62" s="8"/>
      <c r="D62" s="48"/>
      <c r="E62" s="21"/>
      <c r="F62" s="21"/>
      <c r="G62" s="8"/>
      <c r="H62" s="8"/>
    </row>
    <row r="63" spans="1:8" x14ac:dyDescent="0.15">
      <c r="A63" s="21"/>
      <c r="B63" s="7"/>
      <c r="C63" s="8"/>
      <c r="D63" s="48"/>
      <c r="E63" s="21"/>
      <c r="F63" s="21"/>
      <c r="G63" s="8"/>
      <c r="H63" s="176"/>
    </row>
    <row r="64" spans="1:8" x14ac:dyDescent="0.15">
      <c r="A64" s="21"/>
      <c r="B64" s="7"/>
      <c r="C64" s="8"/>
      <c r="D64" s="48"/>
      <c r="E64" s="21"/>
      <c r="F64" s="21"/>
      <c r="G64" s="8"/>
      <c r="H64" s="21"/>
    </row>
    <row r="65" spans="1:8" x14ac:dyDescent="0.15">
      <c r="A65" s="21"/>
      <c r="B65" s="7"/>
      <c r="C65" s="8"/>
      <c r="D65" s="48"/>
      <c r="E65" s="21"/>
      <c r="F65" s="21"/>
      <c r="G65" s="8"/>
      <c r="H65" s="176"/>
    </row>
    <row r="66" spans="1:8" x14ac:dyDescent="0.15">
      <c r="A66" s="21"/>
      <c r="B66" s="7"/>
      <c r="C66" s="8"/>
      <c r="D66" s="48"/>
      <c r="E66" s="21"/>
      <c r="F66" s="21"/>
      <c r="G66" s="8"/>
      <c r="H66" s="176"/>
    </row>
    <row r="67" spans="1:8" x14ac:dyDescent="0.15">
      <c r="A67" s="21"/>
      <c r="B67" s="7"/>
      <c r="C67" s="8"/>
      <c r="D67" s="48"/>
      <c r="E67" s="21"/>
      <c r="F67" s="21"/>
      <c r="G67" s="8"/>
      <c r="H67" s="21"/>
    </row>
    <row r="68" spans="1:8" x14ac:dyDescent="0.15">
      <c r="A68" s="21"/>
      <c r="B68" s="7"/>
      <c r="C68" s="8"/>
      <c r="D68" s="48"/>
      <c r="E68" s="21"/>
      <c r="F68" s="21"/>
      <c r="G68" s="8"/>
      <c r="H68" s="176"/>
    </row>
    <row r="69" spans="1:8" x14ac:dyDescent="0.15">
      <c r="A69" s="21"/>
      <c r="B69" s="21"/>
      <c r="C69" s="21"/>
      <c r="D69" s="21"/>
      <c r="E69" s="21"/>
      <c r="F69" s="21"/>
      <c r="G69" s="8"/>
      <c r="H69" s="176"/>
    </row>
    <row r="70" spans="1:8" x14ac:dyDescent="0.15">
      <c r="A70" s="21"/>
      <c r="B70" s="21"/>
      <c r="C70" s="21"/>
      <c r="D70" s="21"/>
      <c r="E70" s="21"/>
      <c r="F70" s="21"/>
      <c r="G70" s="8"/>
      <c r="H70" s="21"/>
    </row>
    <row r="71" spans="1:8" x14ac:dyDescent="0.15">
      <c r="A71" s="21"/>
      <c r="B71" s="21"/>
      <c r="C71" s="21"/>
      <c r="D71" s="21"/>
      <c r="E71" s="21"/>
      <c r="F71" s="21"/>
      <c r="G71" s="8"/>
      <c r="H71" s="97"/>
    </row>
    <row r="72" spans="1:8" x14ac:dyDescent="0.15">
      <c r="A72" s="21"/>
      <c r="B72" s="21"/>
      <c r="C72" s="21"/>
      <c r="D72" s="21"/>
      <c r="E72" s="21"/>
      <c r="F72" s="21"/>
      <c r="G72" s="50"/>
      <c r="H72" s="21"/>
    </row>
    <row r="73" spans="1:8" x14ac:dyDescent="0.15">
      <c r="A73" s="21"/>
      <c r="B73" s="21"/>
      <c r="C73" s="21"/>
      <c r="D73" s="21"/>
      <c r="E73" s="21"/>
      <c r="F73" s="21"/>
      <c r="G73" s="21"/>
      <c r="H73" s="21"/>
    </row>
    <row r="74" spans="1:8" x14ac:dyDescent="0.15">
      <c r="A74" s="21"/>
      <c r="B74" s="21"/>
      <c r="C74" s="21"/>
      <c r="D74" s="21"/>
      <c r="E74" s="21"/>
      <c r="F74" s="21"/>
      <c r="G74" s="21"/>
      <c r="H74" s="21"/>
    </row>
    <row r="75" spans="1:8" x14ac:dyDescent="0.15">
      <c r="A75" s="21"/>
      <c r="B75" s="21"/>
      <c r="C75" s="21"/>
      <c r="D75" s="21"/>
      <c r="E75" s="21"/>
      <c r="F75" s="21"/>
      <c r="G75" s="21"/>
      <c r="H75" s="21"/>
    </row>
    <row r="76" spans="1:8" x14ac:dyDescent="0.15">
      <c r="A76" s="21"/>
      <c r="B76" s="21"/>
      <c r="C76" s="21"/>
      <c r="D76" s="21"/>
      <c r="E76" s="21"/>
      <c r="F76" s="21"/>
      <c r="G76" s="21"/>
      <c r="H76" s="21"/>
    </row>
    <row r="77" spans="1:8" x14ac:dyDescent="0.15">
      <c r="A77" s="21"/>
      <c r="B77" s="21"/>
      <c r="C77" s="21"/>
      <c r="D77" s="21"/>
      <c r="E77" s="21"/>
      <c r="F77" s="21"/>
      <c r="G77" s="21"/>
      <c r="H77" s="21"/>
    </row>
    <row r="78" spans="1:8" x14ac:dyDescent="0.15">
      <c r="A78" s="21"/>
      <c r="B78" s="21"/>
      <c r="C78" s="21"/>
      <c r="D78" s="21"/>
      <c r="E78" s="21"/>
      <c r="F78" s="21"/>
      <c r="G78" s="21"/>
      <c r="H78" s="21"/>
    </row>
    <row r="79" spans="1:8" x14ac:dyDescent="0.15">
      <c r="A79" s="21"/>
      <c r="B79" s="21"/>
      <c r="C79" s="21"/>
      <c r="D79" s="21"/>
      <c r="E79" s="21"/>
      <c r="F79" s="21"/>
      <c r="G79" s="21"/>
      <c r="H79" s="21"/>
    </row>
    <row r="80" spans="1:8" x14ac:dyDescent="0.15">
      <c r="A80" s="21"/>
      <c r="B80" s="21"/>
      <c r="C80" s="21"/>
      <c r="D80" s="21"/>
      <c r="E80" s="21"/>
      <c r="F80" s="21"/>
      <c r="G80" s="21"/>
      <c r="H80" s="21"/>
    </row>
    <row r="81" spans="1:8" x14ac:dyDescent="0.15">
      <c r="A81" s="21"/>
      <c r="B81" s="21"/>
      <c r="C81" s="21"/>
      <c r="D81" s="21"/>
      <c r="E81" s="21"/>
      <c r="F81" s="21"/>
      <c r="G81" s="21"/>
      <c r="H81" s="21"/>
    </row>
    <row r="82" spans="1:8" x14ac:dyDescent="0.15">
      <c r="A82" s="21"/>
      <c r="B82" s="21"/>
      <c r="C82" s="21"/>
      <c r="D82" s="21"/>
      <c r="E82" s="21"/>
      <c r="F82" s="21"/>
      <c r="G82" s="21"/>
      <c r="H82" s="21"/>
    </row>
    <row r="83" spans="1:8" x14ac:dyDescent="0.15">
      <c r="A83" s="21"/>
      <c r="B83" s="21"/>
      <c r="C83" s="21"/>
      <c r="D83" s="21"/>
      <c r="E83" s="21"/>
      <c r="F83" s="21"/>
      <c r="G83" s="21"/>
      <c r="H83" s="21"/>
    </row>
    <row r="84" spans="1:8" x14ac:dyDescent="0.15">
      <c r="A84" s="21"/>
      <c r="B84" s="21"/>
      <c r="C84" s="21"/>
      <c r="D84" s="21"/>
      <c r="E84" s="21"/>
      <c r="F84" s="21"/>
      <c r="G84" s="21"/>
      <c r="H84" s="21"/>
    </row>
    <row r="85" spans="1:8" x14ac:dyDescent="0.15">
      <c r="A85" s="21"/>
      <c r="B85" s="21"/>
      <c r="C85" s="21"/>
      <c r="D85" s="21"/>
      <c r="E85" s="21"/>
      <c r="F85" s="21"/>
      <c r="G85" s="21"/>
      <c r="H85" s="21"/>
    </row>
    <row r="86" spans="1:8" x14ac:dyDescent="0.15">
      <c r="A86" s="21"/>
      <c r="B86" s="21"/>
      <c r="C86" s="21"/>
      <c r="D86" s="21"/>
      <c r="E86" s="21"/>
      <c r="F86" s="21"/>
      <c r="G86" s="21"/>
      <c r="H86" s="21"/>
    </row>
    <row r="87" spans="1:8" x14ac:dyDescent="0.15">
      <c r="A87" s="21"/>
      <c r="B87" s="21"/>
      <c r="C87" s="21"/>
      <c r="D87" s="21"/>
      <c r="E87" s="21"/>
      <c r="F87" s="21"/>
      <c r="G87" s="21"/>
      <c r="H87" s="21"/>
    </row>
    <row r="88" spans="1:8" x14ac:dyDescent="0.15">
      <c r="A88" s="21"/>
      <c r="B88" s="21"/>
      <c r="C88" s="21"/>
      <c r="D88" s="21"/>
      <c r="E88" s="21"/>
      <c r="F88" s="21"/>
      <c r="G88" s="21"/>
      <c r="H88" s="21"/>
    </row>
    <row r="89" spans="1:8" x14ac:dyDescent="0.15">
      <c r="A89" s="21"/>
      <c r="B89" s="21"/>
      <c r="C89" s="21"/>
      <c r="D89" s="21"/>
      <c r="E89" s="21"/>
      <c r="F89" s="21"/>
      <c r="G89" s="21"/>
      <c r="H89" s="21"/>
    </row>
    <row r="90" spans="1:8" x14ac:dyDescent="0.15">
      <c r="A90" s="21"/>
      <c r="B90" s="21"/>
      <c r="C90" s="21"/>
      <c r="D90" s="21"/>
      <c r="E90" s="21"/>
      <c r="F90" s="21"/>
      <c r="G90" s="21"/>
      <c r="H90" s="21"/>
    </row>
    <row r="91" spans="1:8" x14ac:dyDescent="0.15">
      <c r="A91" s="21"/>
      <c r="B91" s="21"/>
      <c r="C91" s="21"/>
      <c r="D91" s="21"/>
      <c r="E91" s="21"/>
      <c r="F91" s="21"/>
      <c r="G91" s="21"/>
      <c r="H91" s="21"/>
    </row>
    <row r="92" spans="1:8" x14ac:dyDescent="0.15">
      <c r="A92" s="21"/>
      <c r="B92" s="21"/>
      <c r="C92" s="21"/>
      <c r="D92" s="21"/>
      <c r="E92" s="21"/>
      <c r="F92" s="21"/>
      <c r="G92" s="21"/>
      <c r="H92" s="21"/>
    </row>
    <row r="93" spans="1:8" x14ac:dyDescent="0.15">
      <c r="A93" s="21"/>
      <c r="B93" s="21"/>
      <c r="C93" s="21"/>
      <c r="D93" s="21"/>
      <c r="E93" s="21"/>
      <c r="F93" s="21"/>
      <c r="G93" s="21"/>
      <c r="H93" s="21"/>
    </row>
    <row r="94" spans="1:8" x14ac:dyDescent="0.15">
      <c r="A94" s="21"/>
      <c r="B94" s="21"/>
      <c r="C94" s="21"/>
      <c r="D94" s="21"/>
      <c r="E94" s="21"/>
      <c r="F94" s="21"/>
      <c r="G94" s="21"/>
      <c r="H94" s="21"/>
    </row>
    <row r="95" spans="1:8" x14ac:dyDescent="0.15">
      <c r="A95" s="21"/>
      <c r="B95" s="21"/>
      <c r="C95" s="21"/>
      <c r="D95" s="21"/>
      <c r="E95" s="21"/>
      <c r="F95" s="21"/>
      <c r="G95" s="21"/>
      <c r="H95" s="21"/>
    </row>
    <row r="96" spans="1:8" x14ac:dyDescent="0.15">
      <c r="A96" s="21"/>
      <c r="B96" s="21"/>
      <c r="C96" s="21"/>
      <c r="D96" s="21"/>
      <c r="E96" s="21"/>
      <c r="F96" s="21"/>
      <c r="G96" s="21"/>
      <c r="H96" s="21"/>
    </row>
    <row r="97" spans="1:8" x14ac:dyDescent="0.15">
      <c r="A97" s="21"/>
      <c r="B97" s="21"/>
      <c r="C97" s="21"/>
      <c r="D97" s="21"/>
      <c r="E97" s="21"/>
      <c r="F97" s="21"/>
      <c r="G97" s="21"/>
      <c r="H97" s="21"/>
    </row>
    <row r="98" spans="1:8" x14ac:dyDescent="0.15">
      <c r="A98" s="21"/>
      <c r="B98" s="21"/>
      <c r="C98" s="21"/>
      <c r="D98" s="21"/>
      <c r="E98" s="21"/>
      <c r="F98" s="21"/>
      <c r="G98" s="21"/>
      <c r="H98" s="21"/>
    </row>
    <row r="99" spans="1:8" x14ac:dyDescent="0.15">
      <c r="A99" s="21"/>
      <c r="B99" s="21"/>
      <c r="C99" s="21"/>
      <c r="D99" s="21"/>
      <c r="E99" s="21"/>
      <c r="F99" s="21"/>
      <c r="G99" s="21"/>
      <c r="H99" s="21"/>
    </row>
    <row r="100" spans="1:8" x14ac:dyDescent="0.15">
      <c r="A100" s="21"/>
      <c r="B100" s="21"/>
      <c r="C100" s="21"/>
      <c r="D100" s="21"/>
      <c r="E100" s="21"/>
      <c r="F100" s="21"/>
      <c r="G100" s="21"/>
      <c r="H100" s="21"/>
    </row>
    <row r="101" spans="1:8" x14ac:dyDescent="0.15">
      <c r="A101" s="21"/>
      <c r="B101" s="21"/>
      <c r="C101" s="21"/>
      <c r="D101" s="21"/>
      <c r="E101" s="21"/>
      <c r="F101" s="21"/>
      <c r="G101" s="21"/>
      <c r="H101" s="21"/>
    </row>
  </sheetData>
  <phoneticPr fontId="2"/>
  <pageMargins left="0.70866141732283472" right="0.70866141732283472" top="0.74803149606299213" bottom="0.74803149606299213" header="0.31496062992125984" footer="0.31496062992125984"/>
  <pageSetup paperSize="11" scale="9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Button 1">
              <controlPr defaultSize="0" print="0" autoFill="0" autoPict="0" macro="[0]!データ削除_年齢区分_65歳以上">
                <anchor moveWithCells="1" sizeWithCells="1">
                  <from>
                    <xdr:col>13</xdr:col>
                    <xdr:colOff>533400</xdr:colOff>
                    <xdr:row>2</xdr:row>
                    <xdr:rowOff>76200</xdr:rowOff>
                  </from>
                  <to>
                    <xdr:col>16</xdr:col>
                    <xdr:colOff>561975</xdr:colOff>
                    <xdr:row>4</xdr:row>
                    <xdr:rowOff>47625</xdr:rowOff>
                  </to>
                </anchor>
              </controlPr>
            </control>
          </mc:Choice>
        </mc:AlternateContent>
      </controls>
    </mc:Choice>
  </mc:AlternateContent>
  <tableParts count="2">
    <tablePart r:id="rId5"/>
    <tablePart r:id="rId6"/>
  </tablePar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rgb="FFFFC000"/>
    <pageSetUpPr fitToPage="1"/>
  </sheetPr>
  <dimension ref="A1:J34"/>
  <sheetViews>
    <sheetView showGridLines="0" view="pageBreakPreview" zoomScaleNormal="100" zoomScaleSheetLayoutView="100" workbookViewId="0">
      <selection activeCell="M11" sqref="M11"/>
    </sheetView>
  </sheetViews>
  <sheetFormatPr defaultRowHeight="18.75" x14ac:dyDescent="0.15"/>
  <cols>
    <col min="1" max="1" width="21.75" style="1" customWidth="1"/>
    <col min="2" max="3" width="9.375" style="1" customWidth="1"/>
    <col min="4" max="4" width="9" style="1" customWidth="1"/>
    <col min="5" max="5" width="20.625" style="1" hidden="1" customWidth="1"/>
    <col min="6" max="6" width="9" style="1" hidden="1" customWidth="1"/>
    <col min="7" max="7" width="8.75" style="1" hidden="1" customWidth="1"/>
    <col min="8" max="10" width="9" style="1" hidden="1" customWidth="1"/>
    <col min="11" max="11" width="0" style="1" hidden="1" customWidth="1"/>
    <col min="12" max="16384" width="9" style="1"/>
  </cols>
  <sheetData>
    <row r="1" spans="1:6" ht="19.5" x14ac:dyDescent="0.15">
      <c r="A1" s="2" t="s">
        <v>205</v>
      </c>
    </row>
    <row r="2" spans="1:6" ht="19.5" x14ac:dyDescent="0.15">
      <c r="A2" s="2"/>
      <c r="E2" s="55" t="s">
        <v>63</v>
      </c>
    </row>
    <row r="3" spans="1:6" ht="20.25" thickBot="1" x14ac:dyDescent="0.2">
      <c r="A3" s="4" t="s">
        <v>13</v>
      </c>
      <c r="B3" s="2"/>
      <c r="E3" s="383" t="s">
        <v>281</v>
      </c>
      <c r="F3" s="480" t="s">
        <v>0</v>
      </c>
    </row>
    <row r="4" spans="1:6" ht="20.25" thickTop="1" thickBot="1" x14ac:dyDescent="0.2">
      <c r="A4" s="331"/>
      <c r="B4" s="332" t="s">
        <v>225</v>
      </c>
      <c r="C4" s="332" t="s">
        <v>226</v>
      </c>
      <c r="E4" s="422" t="s">
        <v>373</v>
      </c>
      <c r="F4" s="380" t="s">
        <v>612</v>
      </c>
    </row>
    <row r="5" spans="1:6" ht="19.5" thickTop="1" x14ac:dyDescent="0.15">
      <c r="A5" s="298" t="s">
        <v>99</v>
      </c>
      <c r="B5" s="258">
        <f>IFERROR(VLOOKUP("措置入院",入院形態＿65歳以上[#All],2,FALSE),0)+IFERROR(VLOOKUP("緊急措置入院",入院形態＿65歳以上[#All],2,FALSE),0)</f>
        <v>14</v>
      </c>
      <c r="C5" s="458">
        <f>IFERROR(B5/B$10,"-")</f>
        <v>1.5457657060836921E-3</v>
      </c>
      <c r="E5" s="39" t="s">
        <v>16</v>
      </c>
      <c r="F5" s="47">
        <v>3869</v>
      </c>
    </row>
    <row r="6" spans="1:6" x14ac:dyDescent="0.15">
      <c r="A6" s="298" t="s">
        <v>100</v>
      </c>
      <c r="B6" s="258">
        <f>IFERROR(VLOOKUP(A6,入院形態＿65歳以上[#All],2,FALSE),0)</f>
        <v>5165</v>
      </c>
      <c r="C6" s="458">
        <f t="shared" ref="C6:C9" si="0">IFERROR(B6/B$10,"-")</f>
        <v>0.57027713370873356</v>
      </c>
      <c r="E6" s="39" t="s">
        <v>613</v>
      </c>
      <c r="F6" s="40">
        <v>14</v>
      </c>
    </row>
    <row r="7" spans="1:6" x14ac:dyDescent="0.15">
      <c r="A7" s="298" t="s">
        <v>101</v>
      </c>
      <c r="B7" s="258">
        <f>IFERROR(VLOOKUP(A7,入院形態＿65歳以上[#All],2,FALSE),0)</f>
        <v>3869</v>
      </c>
      <c r="C7" s="458">
        <f t="shared" si="0"/>
        <v>0.42718339405984324</v>
      </c>
      <c r="E7" s="39" t="s">
        <v>614</v>
      </c>
      <c r="F7" s="40">
        <v>1</v>
      </c>
    </row>
    <row r="8" spans="1:6" x14ac:dyDescent="0.15">
      <c r="A8" s="298" t="s">
        <v>102</v>
      </c>
      <c r="B8" s="258">
        <f>IFERROR(VLOOKUP(A8,入院形態＿65歳以上[#All],2,FALSE),0)</f>
        <v>1</v>
      </c>
      <c r="C8" s="458">
        <f t="shared" si="0"/>
        <v>1.1041183614883516E-4</v>
      </c>
      <c r="E8" s="39" t="s">
        <v>17</v>
      </c>
      <c r="F8" s="40">
        <v>1</v>
      </c>
    </row>
    <row r="9" spans="1:6" x14ac:dyDescent="0.15">
      <c r="A9" s="298" t="s">
        <v>103</v>
      </c>
      <c r="B9" s="258">
        <f>IFERROR(VLOOKUP("鑑定入院",入院形態＿65歳以上[#All],2,FALSE),0)+IFERROR(VLOOKUP("医療観察法による入院",入院形態＿65歳以上[#All],2,FALSE),0)+IFERROR(VLOOKUP("不明",入院形態＿65歳以上[#All],2,FALSE),0)</f>
        <v>8</v>
      </c>
      <c r="C9" s="458">
        <f t="shared" si="0"/>
        <v>8.8329468919068127E-4</v>
      </c>
      <c r="E9" s="39" t="s">
        <v>15</v>
      </c>
      <c r="F9" s="40">
        <v>5165</v>
      </c>
    </row>
    <row r="10" spans="1:6" x14ac:dyDescent="0.15">
      <c r="A10" s="331" t="s">
        <v>160</v>
      </c>
      <c r="B10" s="333">
        <f>SUM(B5:B9)</f>
        <v>9057</v>
      </c>
      <c r="C10" s="334">
        <f>SUM(C5:C9)</f>
        <v>0.99999999999999989</v>
      </c>
      <c r="E10" s="42" t="s">
        <v>615</v>
      </c>
      <c r="F10" s="40">
        <v>6</v>
      </c>
    </row>
    <row r="11" spans="1:6" x14ac:dyDescent="0.15">
      <c r="E11" s="42" t="s">
        <v>374</v>
      </c>
      <c r="F11" s="40">
        <v>0</v>
      </c>
    </row>
    <row r="12" spans="1:6" x14ac:dyDescent="0.15">
      <c r="E12" s="39" t="s">
        <v>375</v>
      </c>
      <c r="F12" s="40">
        <v>1</v>
      </c>
    </row>
    <row r="13" spans="1:6" x14ac:dyDescent="0.15">
      <c r="E13" s="55" t="s">
        <v>63</v>
      </c>
      <c r="F13" s="382"/>
    </row>
    <row r="14" spans="1:6" ht="19.5" thickBot="1" x14ac:dyDescent="0.2">
      <c r="A14" s="4" t="s">
        <v>227</v>
      </c>
      <c r="E14" s="482" t="s">
        <v>281</v>
      </c>
      <c r="F14" s="487" t="s">
        <v>305</v>
      </c>
    </row>
    <row r="15" spans="1:6" ht="20.25" thickTop="1" thickBot="1" x14ac:dyDescent="0.2">
      <c r="A15" s="331"/>
      <c r="B15" s="332" t="s">
        <v>225</v>
      </c>
      <c r="C15" s="332" t="s">
        <v>226</v>
      </c>
      <c r="E15" s="422" t="s">
        <v>373</v>
      </c>
      <c r="F15" s="380" t="s">
        <v>612</v>
      </c>
    </row>
    <row r="16" spans="1:6" ht="19.5" thickTop="1" x14ac:dyDescent="0.15">
      <c r="A16" s="298" t="s">
        <v>99</v>
      </c>
      <c r="B16" s="258">
        <f>IFERROR(VLOOKUP("措置入院",入院形態＿65歳以上＿寛解・院内寛解[#All],2,FALSE),0)+IFERROR(VLOOKUP("緊急措置入院",入院形態＿65歳以上＿寛解・院内寛解[#All],2,FALSE),0)</f>
        <v>2</v>
      </c>
      <c r="C16" s="458">
        <f>IFERROR(B16/B$21,"-")</f>
        <v>2.3980815347721821E-3</v>
      </c>
      <c r="E16" s="39" t="s">
        <v>16</v>
      </c>
      <c r="F16" s="47">
        <v>471</v>
      </c>
    </row>
    <row r="17" spans="1:7" x14ac:dyDescent="0.15">
      <c r="A17" s="298" t="s">
        <v>100</v>
      </c>
      <c r="B17" s="258">
        <f>IFERROR(VLOOKUP(A17,入院形態＿65歳以上＿寛解・院内寛解[#All],2,FALSE),0)</f>
        <v>359</v>
      </c>
      <c r="C17" s="458">
        <f t="shared" ref="C17:C20" si="1">IFERROR(B17/B$21,"-")</f>
        <v>0.4304556354916067</v>
      </c>
      <c r="E17" s="39" t="s">
        <v>613</v>
      </c>
      <c r="F17" s="47">
        <v>2</v>
      </c>
    </row>
    <row r="18" spans="1:7" ht="19.5" x14ac:dyDescent="0.15">
      <c r="A18" s="298" t="s">
        <v>101</v>
      </c>
      <c r="B18" s="258">
        <f>IFERROR(VLOOKUP(A18,入院形態＿65歳以上＿寛解・院内寛解[#All],2,FALSE),0)</f>
        <v>471</v>
      </c>
      <c r="C18" s="458">
        <f t="shared" si="1"/>
        <v>0.56474820143884896</v>
      </c>
      <c r="E18" s="39" t="s">
        <v>614</v>
      </c>
      <c r="F18" s="47">
        <v>1</v>
      </c>
      <c r="G18" s="3"/>
    </row>
    <row r="19" spans="1:7" x14ac:dyDescent="0.15">
      <c r="A19" s="298" t="s">
        <v>102</v>
      </c>
      <c r="B19" s="258">
        <f>IFERROR(VLOOKUP(A19,入院形態＿65歳以上＿寛解・院内寛解[#All],2,FALSE),0)</f>
        <v>0</v>
      </c>
      <c r="C19" s="458">
        <f t="shared" si="1"/>
        <v>0</v>
      </c>
      <c r="E19" s="39" t="s">
        <v>17</v>
      </c>
      <c r="F19" s="47">
        <v>0</v>
      </c>
    </row>
    <row r="20" spans="1:7" x14ac:dyDescent="0.15">
      <c r="A20" s="298" t="s">
        <v>103</v>
      </c>
      <c r="B20" s="258">
        <f>IFERROR(VLOOKUP("鑑定入院",入院形態＿65歳以上＿寛解・院内寛解[#All],2,FALSE),0)+IFERROR(VLOOKUP("医療観察法による入院",入院形態＿65歳以上＿寛解・院内寛解[#All],2,FALSE),0)+IFERROR(VLOOKUP("不明",入院形態＿65歳以上＿寛解・院内寛解[#All],2,FALSE),0)</f>
        <v>2</v>
      </c>
      <c r="C20" s="458">
        <f t="shared" si="1"/>
        <v>2.3980815347721821E-3</v>
      </c>
      <c r="E20" s="39" t="s">
        <v>15</v>
      </c>
      <c r="F20" s="47">
        <v>359</v>
      </c>
      <c r="G20" s="21"/>
    </row>
    <row r="21" spans="1:7" x14ac:dyDescent="0.15">
      <c r="A21" s="331" t="s">
        <v>160</v>
      </c>
      <c r="B21" s="333">
        <f>SUM(B16:B20)</f>
        <v>834</v>
      </c>
      <c r="C21" s="334">
        <f>SUM(C16:C20)</f>
        <v>1</v>
      </c>
      <c r="E21" s="42" t="s">
        <v>615</v>
      </c>
      <c r="F21" s="47">
        <v>1</v>
      </c>
      <c r="G21" s="21"/>
    </row>
    <row r="22" spans="1:7" x14ac:dyDescent="0.15">
      <c r="E22" s="42" t="s">
        <v>374</v>
      </c>
      <c r="F22" s="47">
        <v>0</v>
      </c>
      <c r="G22" s="21"/>
    </row>
    <row r="23" spans="1:7" x14ac:dyDescent="0.15">
      <c r="E23" s="39" t="s">
        <v>375</v>
      </c>
      <c r="F23" s="47">
        <v>0</v>
      </c>
      <c r="G23" s="21"/>
    </row>
    <row r="26" spans="1:7" x14ac:dyDescent="0.15">
      <c r="C26" s="4"/>
    </row>
    <row r="27" spans="1:7" x14ac:dyDescent="0.15">
      <c r="C27" s="4"/>
    </row>
    <row r="30" spans="1:7" x14ac:dyDescent="0.15">
      <c r="A30" s="139"/>
      <c r="B30" s="32"/>
      <c r="C30" s="32"/>
    </row>
    <row r="31" spans="1:7" x14ac:dyDescent="0.15">
      <c r="A31" s="37"/>
      <c r="B31" s="38"/>
      <c r="C31" s="171"/>
    </row>
    <row r="32" spans="1:7" x14ac:dyDescent="0.15">
      <c r="A32" s="37"/>
      <c r="B32" s="38"/>
      <c r="C32" s="171"/>
    </row>
    <row r="33" spans="1:3" x14ac:dyDescent="0.15">
      <c r="A33" s="37"/>
      <c r="B33" s="38"/>
      <c r="C33" s="35"/>
    </row>
    <row r="34" spans="1:3" x14ac:dyDescent="0.15">
      <c r="A34" s="37"/>
      <c r="B34" s="38"/>
      <c r="C34" s="35"/>
    </row>
  </sheetData>
  <phoneticPr fontId="2"/>
  <printOptions horizontalCentered="1"/>
  <pageMargins left="0.70866141732283472" right="0.70866141732283472" top="1.1417322834645669" bottom="0.74803149606299213" header="0.70866141732283472" footer="0.31496062992125984"/>
  <pageSetup paperSize="11" scale="7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Button 1">
              <controlPr defaultSize="0" print="0" autoFill="0" autoPict="0" macro="[0]!データ削除_入院形態_65歳以上">
                <anchor moveWithCells="1" sizeWithCells="1">
                  <from>
                    <xdr:col>6</xdr:col>
                    <xdr:colOff>628650</xdr:colOff>
                    <xdr:row>3</xdr:row>
                    <xdr:rowOff>47625</xdr:rowOff>
                  </from>
                  <to>
                    <xdr:col>9</xdr:col>
                    <xdr:colOff>409575</xdr:colOff>
                    <xdr:row>5</xdr:row>
                    <xdr:rowOff>47625</xdr:rowOff>
                  </to>
                </anchor>
              </controlPr>
            </control>
          </mc:Choice>
        </mc:AlternateContent>
      </controls>
    </mc:Choice>
  </mc:AlternateContent>
  <tableParts count="2">
    <tablePart r:id="rId5"/>
    <tablePart r:id="rId6"/>
  </tablePar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rgb="FFFFC000"/>
    <pageSetUpPr fitToPage="1"/>
  </sheetPr>
  <dimension ref="A1:T65"/>
  <sheetViews>
    <sheetView showGridLines="0" view="pageBreakPreview" zoomScale="90" zoomScaleNormal="100" zoomScaleSheetLayoutView="90" workbookViewId="0">
      <selection activeCell="W11" sqref="W11"/>
    </sheetView>
  </sheetViews>
  <sheetFormatPr defaultRowHeight="18.75" x14ac:dyDescent="0.15"/>
  <cols>
    <col min="1" max="1" width="3.375" style="1" customWidth="1"/>
    <col min="2" max="2" width="2.125" style="1" customWidth="1"/>
    <col min="3" max="3" width="43.75" style="1" customWidth="1"/>
    <col min="4" max="5" width="9.375" style="1" customWidth="1"/>
    <col min="6" max="6" width="0.875" style="1" customWidth="1"/>
    <col min="7" max="8" width="9.375" style="1" customWidth="1"/>
    <col min="9" max="9" width="6.875" style="37" customWidth="1"/>
    <col min="10" max="10" width="41.875" style="1" hidden="1" customWidth="1"/>
    <col min="11" max="11" width="10.625" style="1" hidden="1" customWidth="1"/>
    <col min="12" max="20" width="9" style="1" hidden="1" customWidth="1"/>
    <col min="21" max="21" width="9" style="1" customWidth="1"/>
    <col min="22" max="16384" width="9" style="1"/>
  </cols>
  <sheetData>
    <row r="1" spans="1:20" ht="19.5" x14ac:dyDescent="0.15">
      <c r="B1" s="2" t="s">
        <v>228</v>
      </c>
    </row>
    <row r="3" spans="1:20" x14ac:dyDescent="0.15">
      <c r="B3" s="4" t="s">
        <v>13</v>
      </c>
      <c r="C3" s="148"/>
      <c r="J3" s="55" t="s">
        <v>63</v>
      </c>
    </row>
    <row r="4" spans="1:20" ht="18.75" customHeight="1" thickBot="1" x14ac:dyDescent="0.4">
      <c r="G4" s="900" t="s">
        <v>105</v>
      </c>
      <c r="H4" s="900"/>
      <c r="J4" s="484" t="s">
        <v>283</v>
      </c>
      <c r="K4" s="480" t="s">
        <v>0</v>
      </c>
    </row>
    <row r="5" spans="1:20" ht="18.75" customHeight="1" thickTop="1" thickBot="1" x14ac:dyDescent="0.2">
      <c r="B5" s="894"/>
      <c r="C5" s="894"/>
      <c r="D5" s="332" t="s">
        <v>0</v>
      </c>
      <c r="E5" s="332" t="s">
        <v>1</v>
      </c>
      <c r="F5" s="149"/>
      <c r="G5" s="332" t="s">
        <v>0</v>
      </c>
      <c r="H5" s="332" t="s">
        <v>1</v>
      </c>
      <c r="J5" s="419" t="s">
        <v>373</v>
      </c>
      <c r="K5" s="418" t="s">
        <v>616</v>
      </c>
      <c r="O5" s="54" t="s">
        <v>295</v>
      </c>
      <c r="T5" s="407" t="s">
        <v>325</v>
      </c>
    </row>
    <row r="6" spans="1:20" ht="18.75" customHeight="1" thickTop="1" x14ac:dyDescent="0.15">
      <c r="B6" s="895" t="s">
        <v>408</v>
      </c>
      <c r="C6" s="896"/>
      <c r="D6" s="150">
        <f>SUM(D7:D9)</f>
        <v>3927</v>
      </c>
      <c r="E6" s="151">
        <f>SUM(E7:E9)</f>
        <v>0.43358728055647566</v>
      </c>
      <c r="F6" s="152"/>
      <c r="G6" s="153">
        <f>'２-Ⅲ'!C5</f>
        <v>4235</v>
      </c>
      <c r="H6" s="154">
        <f>SUM(H7:H9)</f>
        <v>0.28248399146211312</v>
      </c>
      <c r="J6" s="42" t="s">
        <v>295</v>
      </c>
      <c r="K6" s="158">
        <v>2088</v>
      </c>
      <c r="O6" s="54" t="s">
        <v>284</v>
      </c>
      <c r="T6" s="407" t="s">
        <v>314</v>
      </c>
    </row>
    <row r="7" spans="1:20" ht="18.75" customHeight="1" x14ac:dyDescent="0.15">
      <c r="A7" s="155"/>
      <c r="B7" s="156"/>
      <c r="C7" s="157" t="s">
        <v>269</v>
      </c>
      <c r="D7" s="366">
        <f>IFERROR(VLOOKUP($O5,疾患別＿65歳以上[#All],2,FALSE),0)</f>
        <v>2088</v>
      </c>
      <c r="E7" s="460">
        <f>IFERROR(D7/D$22,"-")</f>
        <v>0.23053991387876779</v>
      </c>
      <c r="F7" s="23"/>
      <c r="G7" s="369">
        <f>'２-Ⅲ'!C6</f>
        <v>2137</v>
      </c>
      <c r="H7" s="460">
        <f>IFERROR(G7/G$22,"-")</f>
        <v>0.14254268943436499</v>
      </c>
      <c r="J7" s="42" t="s">
        <v>284</v>
      </c>
      <c r="K7" s="158">
        <v>303</v>
      </c>
      <c r="N7" s="9"/>
      <c r="O7" s="54" t="s">
        <v>285</v>
      </c>
      <c r="T7" s="407" t="s">
        <v>315</v>
      </c>
    </row>
    <row r="8" spans="1:20" ht="18.75" customHeight="1" x14ac:dyDescent="0.15">
      <c r="A8" s="155"/>
      <c r="B8" s="156"/>
      <c r="C8" s="159" t="s">
        <v>106</v>
      </c>
      <c r="D8" s="367">
        <f>IFERROR(VLOOKUP($O6,疾患別＿65歳以上[#All],2,FALSE),0)</f>
        <v>303</v>
      </c>
      <c r="E8" s="461">
        <f t="shared" ref="E8:E20" si="0">IFERROR(D8/D$22,"-")</f>
        <v>3.3454786353097052E-2</v>
      </c>
      <c r="F8" s="23"/>
      <c r="G8" s="370">
        <f>'２-Ⅲ'!C7</f>
        <v>322</v>
      </c>
      <c r="H8" s="264">
        <f t="shared" ref="H8:H20" si="1">IFERROR(G8/G$22,"-")</f>
        <v>2.1478121664887939E-2</v>
      </c>
      <c r="J8" s="42" t="s">
        <v>285</v>
      </c>
      <c r="K8" s="158">
        <v>1536</v>
      </c>
      <c r="N8" s="9"/>
      <c r="O8" s="54" t="s">
        <v>286</v>
      </c>
      <c r="T8" s="407" t="s">
        <v>316</v>
      </c>
    </row>
    <row r="9" spans="1:20" ht="37.5" customHeight="1" x14ac:dyDescent="0.15">
      <c r="A9" s="155"/>
      <c r="B9" s="160"/>
      <c r="C9" s="161" t="s">
        <v>68</v>
      </c>
      <c r="D9" s="368">
        <f>IFERROR(VLOOKUP($O7,疾患別＿65歳以上[#All],2,FALSE),0)</f>
        <v>1536</v>
      </c>
      <c r="E9" s="266">
        <f t="shared" si="0"/>
        <v>0.1695925803246108</v>
      </c>
      <c r="F9" s="23"/>
      <c r="G9" s="371">
        <f>'２-Ⅲ'!C8</f>
        <v>1776</v>
      </c>
      <c r="H9" s="463">
        <f t="shared" si="1"/>
        <v>0.11846318036286019</v>
      </c>
      <c r="J9" s="42" t="s">
        <v>286</v>
      </c>
      <c r="K9" s="158">
        <v>359</v>
      </c>
      <c r="N9" s="9"/>
      <c r="O9" s="54" t="s">
        <v>312</v>
      </c>
      <c r="T9" s="407" t="s">
        <v>317</v>
      </c>
    </row>
    <row r="10" spans="1:20" ht="18.75" customHeight="1" x14ac:dyDescent="0.15">
      <c r="A10" s="155"/>
      <c r="B10" s="892" t="s">
        <v>251</v>
      </c>
      <c r="C10" s="893"/>
      <c r="D10" s="162">
        <f>IFERROR(VLOOKUP($O8,疾患別＿65歳以上[#All],2,FALSE),0)+IFERROR(VLOOKUP($O9,疾患別＿65歳以上[#All],2,FALSE),0)+IFERROR(VLOOKUP($O10,疾患別＿65歳以上[#All],2,FALSE),0)</f>
        <v>385</v>
      </c>
      <c r="E10" s="462">
        <f t="shared" si="0"/>
        <v>4.2508556917301536E-2</v>
      </c>
      <c r="F10" s="163"/>
      <c r="G10" s="162">
        <f>'２-Ⅲ'!C9</f>
        <v>813</v>
      </c>
      <c r="H10" s="462">
        <f t="shared" si="1"/>
        <v>5.4228922091782282E-2</v>
      </c>
      <c r="J10" s="86" t="s">
        <v>200</v>
      </c>
      <c r="K10" s="158">
        <v>14</v>
      </c>
      <c r="N10" s="9"/>
      <c r="O10" s="54" t="s">
        <v>313</v>
      </c>
      <c r="T10" s="407" t="s">
        <v>318</v>
      </c>
    </row>
    <row r="11" spans="1:20" ht="18.75" customHeight="1" x14ac:dyDescent="0.15">
      <c r="A11" s="155"/>
      <c r="B11" s="892" t="s">
        <v>252</v>
      </c>
      <c r="C11" s="893"/>
      <c r="D11" s="162">
        <f>IFERROR(VLOOKUP($O11,疾患別＿65歳以上[#All],2,FALSE),0)</f>
        <v>3459</v>
      </c>
      <c r="E11" s="462">
        <f t="shared" si="0"/>
        <v>0.38191454123882079</v>
      </c>
      <c r="F11" s="163"/>
      <c r="G11" s="162">
        <f>'２-Ⅲ'!C10</f>
        <v>7329</v>
      </c>
      <c r="H11" s="462">
        <f t="shared" si="1"/>
        <v>0.48886072572038419</v>
      </c>
      <c r="J11" s="42" t="s">
        <v>201</v>
      </c>
      <c r="K11" s="158">
        <v>12</v>
      </c>
      <c r="O11" s="54" t="s">
        <v>287</v>
      </c>
      <c r="T11" s="407" t="s">
        <v>319</v>
      </c>
    </row>
    <row r="12" spans="1:20" ht="18.75" customHeight="1" x14ac:dyDescent="0.15">
      <c r="A12" s="155"/>
      <c r="B12" s="892" t="s">
        <v>22</v>
      </c>
      <c r="C12" s="893"/>
      <c r="D12" s="162">
        <f>IFERROR(VLOOKUP($O12,疾患別＿65歳以上[#All],2,FALSE),0)+IFERROR(VLOOKUP($O13,疾患別＿65歳以上[#All],2,FALSE),0)</f>
        <v>954</v>
      </c>
      <c r="E12" s="462">
        <f t="shared" si="0"/>
        <v>0.10533289168598874</v>
      </c>
      <c r="F12" s="163"/>
      <c r="G12" s="162">
        <f>'２-Ⅲ'!C11</f>
        <v>1533</v>
      </c>
      <c r="H12" s="462">
        <f t="shared" si="1"/>
        <v>0.10225453575240127</v>
      </c>
      <c r="J12" s="42" t="s">
        <v>287</v>
      </c>
      <c r="K12" s="158">
        <v>3459</v>
      </c>
      <c r="O12" s="54" t="s">
        <v>288</v>
      </c>
      <c r="T12" s="407" t="s">
        <v>320</v>
      </c>
    </row>
    <row r="13" spans="1:20" ht="18.75" customHeight="1" x14ac:dyDescent="0.15">
      <c r="A13" s="155"/>
      <c r="B13" s="892" t="s">
        <v>24</v>
      </c>
      <c r="C13" s="893"/>
      <c r="D13" s="162">
        <f>IFERROR(VLOOKUP($O14,疾患別＿65歳以上[#All],2,FALSE),0)</f>
        <v>101</v>
      </c>
      <c r="E13" s="462">
        <f t="shared" si="0"/>
        <v>1.1151595451032351E-2</v>
      </c>
      <c r="F13" s="163"/>
      <c r="G13" s="162">
        <f>'２-Ⅲ'!C12</f>
        <v>272</v>
      </c>
      <c r="H13" s="462">
        <f t="shared" si="1"/>
        <v>1.8143009605122731E-2</v>
      </c>
      <c r="J13" s="42" t="s">
        <v>288</v>
      </c>
      <c r="K13" s="158">
        <v>454</v>
      </c>
      <c r="N13" s="9"/>
      <c r="O13" s="54" t="s">
        <v>289</v>
      </c>
      <c r="T13" s="407" t="s">
        <v>321</v>
      </c>
    </row>
    <row r="14" spans="1:20" ht="18.75" customHeight="1" x14ac:dyDescent="0.15">
      <c r="A14" s="155"/>
      <c r="B14" s="892" t="s">
        <v>25</v>
      </c>
      <c r="C14" s="893"/>
      <c r="D14" s="162">
        <f>IFERROR(VLOOKUP($O15,疾患別＿65歳以上[#All],2,FALSE),0)</f>
        <v>2</v>
      </c>
      <c r="E14" s="462">
        <f t="shared" si="0"/>
        <v>2.2082367229767032E-4</v>
      </c>
      <c r="F14" s="163"/>
      <c r="G14" s="162">
        <f>'２-Ⅲ'!C13</f>
        <v>33</v>
      </c>
      <c r="H14" s="462">
        <f t="shared" si="1"/>
        <v>2.2011739594450372E-3</v>
      </c>
      <c r="J14" s="42" t="s">
        <v>289</v>
      </c>
      <c r="K14" s="158">
        <v>500</v>
      </c>
      <c r="N14" s="9"/>
      <c r="O14" s="54" t="s">
        <v>290</v>
      </c>
      <c r="T14" s="407" t="s">
        <v>322</v>
      </c>
    </row>
    <row r="15" spans="1:20" ht="18.75" customHeight="1" x14ac:dyDescent="0.15">
      <c r="A15" s="155"/>
      <c r="B15" s="892" t="s">
        <v>261</v>
      </c>
      <c r="C15" s="893"/>
      <c r="D15" s="162">
        <f>IFERROR(VLOOKUP($O16,疾患別＿65歳以上[#All],2,FALSE),0)</f>
        <v>10</v>
      </c>
      <c r="E15" s="462">
        <f t="shared" si="0"/>
        <v>1.1041183614883515E-3</v>
      </c>
      <c r="F15" s="163"/>
      <c r="G15" s="162">
        <f>'２-Ⅲ'!C14</f>
        <v>54</v>
      </c>
      <c r="H15" s="462">
        <f t="shared" si="1"/>
        <v>3.6019210245464249E-3</v>
      </c>
      <c r="J15" s="42" t="s">
        <v>290</v>
      </c>
      <c r="K15" s="158">
        <v>101</v>
      </c>
      <c r="N15" s="9"/>
      <c r="O15" s="54" t="s">
        <v>291</v>
      </c>
      <c r="T15" s="407" t="s">
        <v>323</v>
      </c>
    </row>
    <row r="16" spans="1:20" ht="18.75" customHeight="1" x14ac:dyDescent="0.15">
      <c r="A16" s="155"/>
      <c r="B16" s="892" t="s">
        <v>249</v>
      </c>
      <c r="C16" s="893"/>
      <c r="D16" s="162">
        <f>IFERROR(VLOOKUP($O17,疾患別＿65歳以上[#All],2,FALSE),0)</f>
        <v>53</v>
      </c>
      <c r="E16" s="462">
        <f t="shared" si="0"/>
        <v>5.851827315888263E-3</v>
      </c>
      <c r="F16" s="163"/>
      <c r="G16" s="162">
        <f>'２-Ⅲ'!C15</f>
        <v>288</v>
      </c>
      <c r="H16" s="462">
        <f t="shared" si="1"/>
        <v>1.9210245464247599E-2</v>
      </c>
      <c r="J16" s="42" t="s">
        <v>291</v>
      </c>
      <c r="K16" s="158">
        <v>2</v>
      </c>
      <c r="N16" s="9"/>
      <c r="O16" s="54" t="s">
        <v>296</v>
      </c>
      <c r="T16" s="407" t="s">
        <v>324</v>
      </c>
    </row>
    <row r="17" spans="1:15" ht="18.75" customHeight="1" x14ac:dyDescent="0.15">
      <c r="A17" s="155"/>
      <c r="B17" s="892" t="s">
        <v>83</v>
      </c>
      <c r="C17" s="893"/>
      <c r="D17" s="162">
        <f>IFERROR(VLOOKUP($O18,疾患別＿65歳以上[#All],2,FALSE),0)</f>
        <v>9</v>
      </c>
      <c r="E17" s="462">
        <f t="shared" si="0"/>
        <v>9.9370652533951648E-4</v>
      </c>
      <c r="F17" s="163"/>
      <c r="G17" s="162">
        <f>'２-Ⅲ'!C16</f>
        <v>165</v>
      </c>
      <c r="H17" s="462">
        <f t="shared" si="1"/>
        <v>1.1005869797225187E-2</v>
      </c>
      <c r="J17" s="42" t="s">
        <v>296</v>
      </c>
      <c r="K17" s="158">
        <v>10</v>
      </c>
      <c r="N17" s="9"/>
      <c r="O17" s="54" t="s">
        <v>292</v>
      </c>
    </row>
    <row r="18" spans="1:15" ht="37.5" customHeight="1" x14ac:dyDescent="0.15">
      <c r="A18" s="155"/>
      <c r="B18" s="892" t="s">
        <v>258</v>
      </c>
      <c r="C18" s="893"/>
      <c r="D18" s="162">
        <f>IFERROR(VLOOKUP($O19,疾患別＿65歳以上[#All],2,FALSE),0)</f>
        <v>11</v>
      </c>
      <c r="E18" s="462">
        <f t="shared" si="0"/>
        <v>1.2145301976371867E-3</v>
      </c>
      <c r="F18" s="163"/>
      <c r="G18" s="162">
        <f>'２-Ⅲ'!C17</f>
        <v>43</v>
      </c>
      <c r="H18" s="462">
        <f t="shared" si="1"/>
        <v>2.8681963713980789E-3</v>
      </c>
      <c r="J18" s="42" t="s">
        <v>292</v>
      </c>
      <c r="K18" s="158">
        <v>53</v>
      </c>
      <c r="N18" s="9"/>
      <c r="O18" s="54" t="s">
        <v>293</v>
      </c>
    </row>
    <row r="19" spans="1:15" ht="18.75" customHeight="1" x14ac:dyDescent="0.15">
      <c r="A19" s="155"/>
      <c r="B19" s="892" t="s">
        <v>67</v>
      </c>
      <c r="C19" s="893"/>
      <c r="D19" s="162">
        <f>IFERROR(VLOOKUP($O20,疾患別＿65歳以上[#All],2,FALSE),0)</f>
        <v>18</v>
      </c>
      <c r="E19" s="462">
        <f t="shared" si="0"/>
        <v>1.987413050679033E-3</v>
      </c>
      <c r="F19" s="163"/>
      <c r="G19" s="162">
        <f>'２-Ⅲ'!C18</f>
        <v>48</v>
      </c>
      <c r="H19" s="462">
        <f t="shared" si="1"/>
        <v>3.2017075773745998E-3</v>
      </c>
      <c r="J19" s="42" t="s">
        <v>293</v>
      </c>
      <c r="K19" s="158">
        <v>9</v>
      </c>
      <c r="N19" s="9"/>
      <c r="O19" s="54" t="s">
        <v>297</v>
      </c>
    </row>
    <row r="20" spans="1:15" ht="18.75" customHeight="1" x14ac:dyDescent="0.15">
      <c r="A20" s="155"/>
      <c r="B20" s="897" t="s">
        <v>18</v>
      </c>
      <c r="C20" s="898"/>
      <c r="D20" s="162">
        <f>IFERROR(VLOOKUP($O21,疾患別＿65歳以上[#All],2,FALSE),0)</f>
        <v>128</v>
      </c>
      <c r="E20" s="462">
        <f t="shared" si="0"/>
        <v>1.41327150270509E-2</v>
      </c>
      <c r="F20" s="163"/>
      <c r="G20" s="162">
        <f>'２-Ⅲ'!C19</f>
        <v>178</v>
      </c>
      <c r="H20" s="462">
        <f t="shared" si="1"/>
        <v>1.1872998932764141E-2</v>
      </c>
      <c r="J20" s="86" t="s">
        <v>297</v>
      </c>
      <c r="K20" s="158">
        <v>11</v>
      </c>
      <c r="N20" s="9"/>
      <c r="O20" s="54" t="s">
        <v>294</v>
      </c>
    </row>
    <row r="21" spans="1:15" s="534" customFormat="1" ht="18.75" customHeight="1" x14ac:dyDescent="0.15">
      <c r="A21" s="155"/>
      <c r="B21" s="897" t="s">
        <v>380</v>
      </c>
      <c r="C21" s="898"/>
      <c r="D21" s="162">
        <f>IFERROR(VLOOKUP($O22,疾患別＿65歳以上[#All],2,FALSE),0)</f>
        <v>0</v>
      </c>
      <c r="E21" s="462">
        <f t="shared" ref="E21" si="2">IFERROR(D21/D$22,"-")</f>
        <v>0</v>
      </c>
      <c r="F21" s="163"/>
      <c r="G21" s="162">
        <f>'２-Ⅲ'!C20</f>
        <v>1</v>
      </c>
      <c r="H21" s="462">
        <f t="shared" ref="H21" si="3">IFERROR(G21/G$22,"-")</f>
        <v>6.6702241195304166E-5</v>
      </c>
      <c r="I21" s="535"/>
      <c r="J21" s="86" t="s">
        <v>18</v>
      </c>
      <c r="K21" s="158">
        <v>128</v>
      </c>
      <c r="N21" s="536"/>
      <c r="O21" s="54" t="s">
        <v>18</v>
      </c>
    </row>
    <row r="22" spans="1:15" ht="18.75" customHeight="1" x14ac:dyDescent="0.15">
      <c r="B22" s="899" t="s">
        <v>160</v>
      </c>
      <c r="C22" s="899"/>
      <c r="D22" s="335">
        <f>SUM(D7:D21)</f>
        <v>9057</v>
      </c>
      <c r="E22" s="334">
        <f>SUM(E7:E20)</f>
        <v>1</v>
      </c>
      <c r="F22" s="164"/>
      <c r="G22" s="335">
        <f>SUM(G7:G21)</f>
        <v>14992</v>
      </c>
      <c r="H22" s="334">
        <f>SUM(H7:H20)</f>
        <v>0.99993329775880468</v>
      </c>
      <c r="J22" s="42" t="s">
        <v>294</v>
      </c>
      <c r="K22" s="158">
        <v>18</v>
      </c>
      <c r="N22" s="9"/>
      <c r="O22" s="42" t="s">
        <v>380</v>
      </c>
    </row>
    <row r="23" spans="1:15" x14ac:dyDescent="0.15">
      <c r="G23" s="66"/>
      <c r="J23" s="42" t="s">
        <v>617</v>
      </c>
      <c r="K23" s="158">
        <v>0</v>
      </c>
    </row>
    <row r="24" spans="1:15" x14ac:dyDescent="0.15">
      <c r="B24" s="4" t="s">
        <v>113</v>
      </c>
      <c r="C24" s="148"/>
      <c r="G24" s="66"/>
      <c r="J24" s="533"/>
      <c r="K24" s="533"/>
    </row>
    <row r="25" spans="1:15" ht="20.25" thickBot="1" x14ac:dyDescent="0.4">
      <c r="G25" s="900" t="s">
        <v>105</v>
      </c>
      <c r="H25" s="900"/>
      <c r="J25" s="484" t="s">
        <v>283</v>
      </c>
      <c r="K25" s="487" t="s">
        <v>305</v>
      </c>
    </row>
    <row r="26" spans="1:15" ht="18.75" customHeight="1" thickTop="1" thickBot="1" x14ac:dyDescent="0.2">
      <c r="B26" s="894"/>
      <c r="C26" s="894"/>
      <c r="D26" s="332" t="s">
        <v>0</v>
      </c>
      <c r="E26" s="332" t="s">
        <v>1</v>
      </c>
      <c r="F26" s="149"/>
      <c r="G26" s="332" t="s">
        <v>0</v>
      </c>
      <c r="H26" s="332" t="s">
        <v>1</v>
      </c>
      <c r="J26" s="419" t="s">
        <v>373</v>
      </c>
      <c r="K26" s="418" t="s">
        <v>616</v>
      </c>
    </row>
    <row r="27" spans="1:15" ht="18.75" customHeight="1" thickTop="1" x14ac:dyDescent="0.15">
      <c r="B27" s="895" t="s">
        <v>408</v>
      </c>
      <c r="C27" s="896"/>
      <c r="D27" s="165">
        <f>SUM(D28:D30)</f>
        <v>296</v>
      </c>
      <c r="E27" s="166">
        <f>SUM(E28:E30)</f>
        <v>0.35491606714628299</v>
      </c>
      <c r="F27" s="135"/>
      <c r="G27" s="167">
        <f>'２-Ⅲ'!J5</f>
        <v>328</v>
      </c>
      <c r="H27" s="154">
        <f>SUM(H28:H30)</f>
        <v>0.1979480989740495</v>
      </c>
      <c r="J27" s="42" t="s">
        <v>295</v>
      </c>
      <c r="K27" s="158">
        <v>152</v>
      </c>
    </row>
    <row r="28" spans="1:15" ht="18.75" customHeight="1" x14ac:dyDescent="0.15">
      <c r="A28" s="155"/>
      <c r="B28" s="156"/>
      <c r="C28" s="157" t="s">
        <v>269</v>
      </c>
      <c r="D28" s="372">
        <f>IFERROR(VLOOKUP($O5,疾患別＿65歳以上＿寛解・院内寛解[#All],2,FALSE),0)</f>
        <v>152</v>
      </c>
      <c r="E28" s="262">
        <f>IFERROR(D28/D$43,"-")</f>
        <v>0.18225419664268586</v>
      </c>
      <c r="F28" s="23"/>
      <c r="G28" s="369">
        <f>'２-Ⅲ'!J6</f>
        <v>154</v>
      </c>
      <c r="H28" s="460">
        <f>IFERROR(G28/G$43,"-")</f>
        <v>9.2939046469523237E-2</v>
      </c>
      <c r="J28" s="420" t="s">
        <v>284</v>
      </c>
      <c r="K28" s="389">
        <v>16</v>
      </c>
      <c r="M28" s="9"/>
      <c r="N28" s="9"/>
    </row>
    <row r="29" spans="1:15" ht="18.75" customHeight="1" x14ac:dyDescent="0.15">
      <c r="A29" s="155"/>
      <c r="B29" s="156"/>
      <c r="C29" s="159" t="s">
        <v>106</v>
      </c>
      <c r="D29" s="372">
        <f>IFERROR(VLOOKUP($O6,疾患別＿65歳以上＿寛解・院内寛解[#All],2,FALSE),0)</f>
        <v>16</v>
      </c>
      <c r="E29" s="471">
        <f t="shared" ref="E29:E41" si="4">IFERROR(D29/D$43,"-")</f>
        <v>1.9184652278177457E-2</v>
      </c>
      <c r="F29" s="23"/>
      <c r="G29" s="370">
        <f>'２-Ⅲ'!J7</f>
        <v>18</v>
      </c>
      <c r="H29" s="264">
        <f t="shared" ref="H29:H41" si="5">IFERROR(G29/G$43,"-")</f>
        <v>1.0863005431502716E-2</v>
      </c>
      <c r="J29" s="386" t="s">
        <v>285</v>
      </c>
      <c r="K29" s="387">
        <v>128</v>
      </c>
      <c r="M29" s="9"/>
      <c r="N29" s="9"/>
    </row>
    <row r="30" spans="1:15" ht="37.5" customHeight="1" x14ac:dyDescent="0.15">
      <c r="A30" s="155"/>
      <c r="B30" s="160"/>
      <c r="C30" s="161" t="s">
        <v>68</v>
      </c>
      <c r="D30" s="372">
        <f>IFERROR(VLOOKUP($O7,疾患別＿65歳以上＿寛解・院内寛解[#All],2,FALSE),0)</f>
        <v>128</v>
      </c>
      <c r="E30" s="266">
        <f t="shared" si="4"/>
        <v>0.15347721822541965</v>
      </c>
      <c r="F30" s="23"/>
      <c r="G30" s="371">
        <f>'２-Ⅲ'!J8</f>
        <v>156</v>
      </c>
      <c r="H30" s="463">
        <f t="shared" si="5"/>
        <v>9.4146047073023542E-2</v>
      </c>
      <c r="J30" s="388" t="s">
        <v>286</v>
      </c>
      <c r="K30" s="389">
        <v>86</v>
      </c>
      <c r="M30" s="9"/>
      <c r="N30" s="9"/>
    </row>
    <row r="31" spans="1:15" ht="18.75" customHeight="1" x14ac:dyDescent="0.15">
      <c r="A31" s="155"/>
      <c r="B31" s="892" t="s">
        <v>20</v>
      </c>
      <c r="C31" s="893"/>
      <c r="D31" s="168">
        <f>IFERROR(VLOOKUP($O8,疾患別＿65歳以上＿寛解・院内寛解[#All],2,FALSE),0)+IFERROR(VLOOKUP($O9,疾患別＿65歳以上＿寛解・院内寛解[#All],2,FALSE),0)+IFERROR(VLOOKUP($O10,疾患別＿65歳以上＿寛解・院内寛解[#All],2,FALSE),0)</f>
        <v>88</v>
      </c>
      <c r="E31" s="462">
        <f t="shared" si="4"/>
        <v>0.10551558752997602</v>
      </c>
      <c r="F31" s="163"/>
      <c r="G31" s="162">
        <f>'２-Ⅲ'!J9</f>
        <v>233</v>
      </c>
      <c r="H31" s="462">
        <f t="shared" si="5"/>
        <v>0.14061557030778515</v>
      </c>
      <c r="J31" s="386" t="s">
        <v>200</v>
      </c>
      <c r="K31" s="387">
        <v>0</v>
      </c>
      <c r="M31" s="9"/>
      <c r="N31" s="9"/>
    </row>
    <row r="32" spans="1:15" ht="18.75" customHeight="1" x14ac:dyDescent="0.15">
      <c r="A32" s="155"/>
      <c r="B32" s="892" t="s">
        <v>21</v>
      </c>
      <c r="C32" s="893"/>
      <c r="D32" s="168">
        <f>IFERROR(VLOOKUP($O11,疾患別＿65歳以上＿寛解・院内寛解[#All],2,FALSE),0)</f>
        <v>257</v>
      </c>
      <c r="E32" s="462">
        <f t="shared" si="4"/>
        <v>0.30815347721822545</v>
      </c>
      <c r="F32" s="163"/>
      <c r="G32" s="162">
        <f>'２-Ⅲ'!J10</f>
        <v>629</v>
      </c>
      <c r="H32" s="462">
        <f t="shared" si="5"/>
        <v>0.37960168980084491</v>
      </c>
      <c r="J32" s="388" t="s">
        <v>201</v>
      </c>
      <c r="K32" s="389">
        <v>2</v>
      </c>
    </row>
    <row r="33" spans="1:14" ht="18.75" customHeight="1" x14ac:dyDescent="0.15">
      <c r="A33" s="155"/>
      <c r="B33" s="892" t="s">
        <v>22</v>
      </c>
      <c r="C33" s="893"/>
      <c r="D33" s="168">
        <f>IFERROR(VLOOKUP($O12,疾患別＿65歳以上＿寛解・院内寛解[#All],2,FALSE),0)+IFERROR(VLOOKUP($O13,疾患別＿65歳以上＿寛解・院内寛解[#All],2,FALSE),0)</f>
        <v>149</v>
      </c>
      <c r="E33" s="462">
        <f t="shared" si="4"/>
        <v>0.17865707434052758</v>
      </c>
      <c r="F33" s="163"/>
      <c r="G33" s="162">
        <f>'２-Ⅲ'!J11</f>
        <v>297</v>
      </c>
      <c r="H33" s="462">
        <f t="shared" si="5"/>
        <v>0.1792395896197948</v>
      </c>
      <c r="J33" s="386" t="s">
        <v>287</v>
      </c>
      <c r="K33" s="387">
        <v>257</v>
      </c>
    </row>
    <row r="34" spans="1:14" ht="18.75" customHeight="1" x14ac:dyDescent="0.15">
      <c r="A34" s="155"/>
      <c r="B34" s="892" t="s">
        <v>253</v>
      </c>
      <c r="C34" s="893"/>
      <c r="D34" s="168">
        <f>IFERROR(VLOOKUP($O14,疾患別＿65歳以上＿寛解・院内寛解[#All],2,FALSE),0)</f>
        <v>22</v>
      </c>
      <c r="E34" s="462">
        <f t="shared" si="4"/>
        <v>2.6378896882494004E-2</v>
      </c>
      <c r="F34" s="163"/>
      <c r="G34" s="162">
        <f>'２-Ⅲ'!J12</f>
        <v>77</v>
      </c>
      <c r="H34" s="462">
        <f t="shared" si="5"/>
        <v>4.6469523234761619E-2</v>
      </c>
      <c r="J34" s="388" t="s">
        <v>288</v>
      </c>
      <c r="K34" s="389">
        <v>69</v>
      </c>
      <c r="M34" s="9"/>
      <c r="N34" s="9"/>
    </row>
    <row r="35" spans="1:14" ht="18.75" customHeight="1" x14ac:dyDescent="0.15">
      <c r="A35" s="155"/>
      <c r="B35" s="892" t="s">
        <v>254</v>
      </c>
      <c r="C35" s="893"/>
      <c r="D35" s="168">
        <f>IFERROR(VLOOKUP($O15,疾患別＿65歳以上＿寛解・院内寛解[#All],2,FALSE),0)</f>
        <v>0</v>
      </c>
      <c r="E35" s="462">
        <f t="shared" si="4"/>
        <v>0</v>
      </c>
      <c r="F35" s="163"/>
      <c r="G35" s="162">
        <f>'２-Ⅲ'!J13</f>
        <v>4</v>
      </c>
      <c r="H35" s="462">
        <f t="shared" si="5"/>
        <v>2.4140012070006035E-3</v>
      </c>
      <c r="J35" s="386" t="s">
        <v>289</v>
      </c>
      <c r="K35" s="387">
        <v>80</v>
      </c>
      <c r="M35" s="9"/>
      <c r="N35" s="9"/>
    </row>
    <row r="36" spans="1:14" ht="18.75" customHeight="1" x14ac:dyDescent="0.15">
      <c r="A36" s="155"/>
      <c r="B36" s="892" t="s">
        <v>259</v>
      </c>
      <c r="C36" s="893"/>
      <c r="D36" s="168">
        <f>IFERROR(VLOOKUP($O16,疾患別＿65歳以上＿寛解・院内寛解[#All],2,FALSE),0)</f>
        <v>4</v>
      </c>
      <c r="E36" s="462">
        <f t="shared" si="4"/>
        <v>4.7961630695443642E-3</v>
      </c>
      <c r="F36" s="163"/>
      <c r="G36" s="162">
        <f>'２-Ⅲ'!J14</f>
        <v>14</v>
      </c>
      <c r="H36" s="462">
        <f t="shared" si="5"/>
        <v>8.4490042245021126E-3</v>
      </c>
      <c r="J36" s="388" t="s">
        <v>290</v>
      </c>
      <c r="K36" s="389">
        <v>22</v>
      </c>
      <c r="M36" s="9"/>
      <c r="N36" s="9"/>
    </row>
    <row r="37" spans="1:14" ht="18.75" customHeight="1" x14ac:dyDescent="0.15">
      <c r="A37" s="155"/>
      <c r="B37" s="892" t="s">
        <v>255</v>
      </c>
      <c r="C37" s="893"/>
      <c r="D37" s="168">
        <f>IFERROR(VLOOKUP($O17,疾患別＿65歳以上＿寛解・院内寛解[#All],2,FALSE),0)</f>
        <v>3</v>
      </c>
      <c r="E37" s="462">
        <f t="shared" si="4"/>
        <v>3.5971223021582736E-3</v>
      </c>
      <c r="F37" s="163"/>
      <c r="G37" s="162">
        <f>'２-Ⅲ'!J15</f>
        <v>24</v>
      </c>
      <c r="H37" s="462">
        <f t="shared" si="5"/>
        <v>1.448400724200362E-2</v>
      </c>
      <c r="J37" s="386" t="s">
        <v>291</v>
      </c>
      <c r="K37" s="387">
        <v>0</v>
      </c>
      <c r="M37" s="9"/>
      <c r="N37" s="9"/>
    </row>
    <row r="38" spans="1:14" ht="18.75" customHeight="1" x14ac:dyDescent="0.15">
      <c r="A38" s="155"/>
      <c r="B38" s="892" t="s">
        <v>23</v>
      </c>
      <c r="C38" s="893"/>
      <c r="D38" s="168">
        <f>IFERROR(VLOOKUP($O18,疾患別＿65歳以上＿寛解・院内寛解[#All],2,FALSE),0)</f>
        <v>2</v>
      </c>
      <c r="E38" s="462">
        <f t="shared" si="4"/>
        <v>2.3980815347721821E-3</v>
      </c>
      <c r="F38" s="163"/>
      <c r="G38" s="162">
        <f>'２-Ⅲ'!J16</f>
        <v>27</v>
      </c>
      <c r="H38" s="462">
        <f t="shared" si="5"/>
        <v>1.6294508147254073E-2</v>
      </c>
      <c r="J38" s="388" t="s">
        <v>296</v>
      </c>
      <c r="K38" s="389">
        <v>4</v>
      </c>
      <c r="M38" s="9"/>
      <c r="N38" s="9"/>
    </row>
    <row r="39" spans="1:14" ht="37.5" customHeight="1" x14ac:dyDescent="0.15">
      <c r="A39" s="155"/>
      <c r="B39" s="892" t="s">
        <v>260</v>
      </c>
      <c r="C39" s="893"/>
      <c r="D39" s="168">
        <f>IFERROR(VLOOKUP($O19,疾患別＿65歳以上＿寛解・院内寛解[#All],2,FALSE),0)</f>
        <v>1</v>
      </c>
      <c r="E39" s="462">
        <f t="shared" si="4"/>
        <v>1.199040767386091E-3</v>
      </c>
      <c r="F39" s="163"/>
      <c r="G39" s="162">
        <f>'２-Ⅲ'!J17</f>
        <v>8</v>
      </c>
      <c r="H39" s="462">
        <f t="shared" si="5"/>
        <v>4.8280024140012071E-3</v>
      </c>
      <c r="J39" s="386" t="s">
        <v>292</v>
      </c>
      <c r="K39" s="387">
        <v>3</v>
      </c>
      <c r="M39" s="9"/>
      <c r="N39" s="9"/>
    </row>
    <row r="40" spans="1:14" ht="18.75" customHeight="1" x14ac:dyDescent="0.15">
      <c r="A40" s="155"/>
      <c r="B40" s="892" t="s">
        <v>67</v>
      </c>
      <c r="C40" s="893"/>
      <c r="D40" s="168">
        <f>IFERROR(VLOOKUP($O20,疾患別＿65歳以上＿寛解・院内寛解[#All],2,FALSE),0)</f>
        <v>4</v>
      </c>
      <c r="E40" s="462">
        <f t="shared" si="4"/>
        <v>4.7961630695443642E-3</v>
      </c>
      <c r="F40" s="163"/>
      <c r="G40" s="162">
        <f>'２-Ⅲ'!J18</f>
        <v>4</v>
      </c>
      <c r="H40" s="462">
        <f t="shared" si="5"/>
        <v>2.4140012070006035E-3</v>
      </c>
      <c r="J40" s="388" t="s">
        <v>293</v>
      </c>
      <c r="K40" s="389">
        <v>2</v>
      </c>
      <c r="M40" s="9"/>
      <c r="N40" s="9"/>
    </row>
    <row r="41" spans="1:14" ht="18.75" customHeight="1" x14ac:dyDescent="0.15">
      <c r="A41" s="155"/>
      <c r="B41" s="897" t="s">
        <v>18</v>
      </c>
      <c r="C41" s="898"/>
      <c r="D41" s="168">
        <f>IFERROR(VLOOKUP($O21,疾患別＿65歳以上＿寛解・院内寛解[#All],2,FALSE),0)</f>
        <v>8</v>
      </c>
      <c r="E41" s="462">
        <f t="shared" si="4"/>
        <v>9.5923261390887284E-3</v>
      </c>
      <c r="F41" s="163"/>
      <c r="G41" s="162">
        <f>'２-Ⅲ'!J19</f>
        <v>12</v>
      </c>
      <c r="H41" s="462">
        <f t="shared" si="5"/>
        <v>7.2420036210018102E-3</v>
      </c>
      <c r="J41" s="386" t="s">
        <v>297</v>
      </c>
      <c r="K41" s="387">
        <v>1</v>
      </c>
      <c r="M41" s="9"/>
      <c r="N41" s="9"/>
    </row>
    <row r="42" spans="1:14" s="534" customFormat="1" ht="18.75" customHeight="1" x14ac:dyDescent="0.15">
      <c r="A42" s="155"/>
      <c r="B42" s="897" t="s">
        <v>380</v>
      </c>
      <c r="C42" s="898"/>
      <c r="D42" s="162">
        <f>IFERROR(VLOOKUP($O22,疾患別＿65歳以上＿寛解・院内寛解[#All],2,FALSE),0)</f>
        <v>0</v>
      </c>
      <c r="E42" s="462">
        <f t="shared" ref="E42" si="6">IFERROR(D42/D$22,"-")</f>
        <v>0</v>
      </c>
      <c r="F42" s="163"/>
      <c r="G42" s="162">
        <f>'２-Ⅲ'!J20</f>
        <v>0</v>
      </c>
      <c r="H42" s="462">
        <f t="shared" ref="H42" si="7">IFERROR(G42/G$22,"-")</f>
        <v>0</v>
      </c>
      <c r="I42" s="535"/>
      <c r="J42" s="386" t="s">
        <v>18</v>
      </c>
      <c r="K42" s="387">
        <v>8</v>
      </c>
      <c r="M42" s="536"/>
      <c r="N42" s="536"/>
    </row>
    <row r="43" spans="1:14" ht="18.75" customHeight="1" x14ac:dyDescent="0.15">
      <c r="B43" s="899" t="s">
        <v>160</v>
      </c>
      <c r="C43" s="899"/>
      <c r="D43" s="335">
        <f>SUM(D28:D42)</f>
        <v>834</v>
      </c>
      <c r="E43" s="334">
        <f>SUM(E28:E41)</f>
        <v>1</v>
      </c>
      <c r="F43" s="164"/>
      <c r="G43" s="335">
        <f>SUM(G28:G42)</f>
        <v>1657</v>
      </c>
      <c r="H43" s="334">
        <f>IFERROR(G43/$G$43,0)</f>
        <v>1</v>
      </c>
      <c r="J43" s="390" t="s">
        <v>294</v>
      </c>
      <c r="K43" s="389">
        <v>4</v>
      </c>
      <c r="M43" s="9"/>
      <c r="N43" s="9"/>
    </row>
    <row r="44" spans="1:14" x14ac:dyDescent="0.15">
      <c r="J44" s="385" t="s">
        <v>617</v>
      </c>
      <c r="K44" s="384">
        <v>0</v>
      </c>
    </row>
    <row r="48" spans="1:14" x14ac:dyDescent="0.15">
      <c r="E48" s="4"/>
      <c r="F48" s="4"/>
      <c r="G48" s="4"/>
    </row>
    <row r="49" spans="3:9" x14ac:dyDescent="0.15">
      <c r="E49" s="4"/>
      <c r="F49" s="4"/>
      <c r="G49" s="4"/>
    </row>
    <row r="52" spans="3:9" x14ac:dyDescent="0.15">
      <c r="E52" s="32"/>
      <c r="F52" s="32"/>
      <c r="G52" s="32"/>
      <c r="I52" s="169"/>
    </row>
    <row r="53" spans="3:9" x14ac:dyDescent="0.15">
      <c r="E53" s="35"/>
      <c r="F53" s="35"/>
      <c r="G53" s="35"/>
      <c r="I53" s="169"/>
    </row>
    <row r="54" spans="3:9" x14ac:dyDescent="0.15">
      <c r="E54" s="35"/>
      <c r="F54" s="35"/>
      <c r="G54" s="35"/>
      <c r="I54" s="7"/>
    </row>
    <row r="55" spans="3:9" x14ac:dyDescent="0.15">
      <c r="E55" s="35"/>
      <c r="F55" s="35"/>
      <c r="G55" s="35"/>
      <c r="I55" s="169"/>
    </row>
    <row r="56" spans="3:9" x14ac:dyDescent="0.15">
      <c r="E56" s="35"/>
      <c r="F56" s="35"/>
      <c r="G56" s="35"/>
      <c r="I56" s="169"/>
    </row>
    <row r="57" spans="3:9" x14ac:dyDescent="0.15">
      <c r="E57" s="35"/>
      <c r="F57" s="35"/>
      <c r="G57" s="35"/>
      <c r="I57" s="169"/>
    </row>
    <row r="58" spans="3:9" x14ac:dyDescent="0.15">
      <c r="E58" s="35"/>
      <c r="F58" s="35"/>
      <c r="G58" s="35"/>
      <c r="I58" s="169"/>
    </row>
    <row r="59" spans="3:9" x14ac:dyDescent="0.15">
      <c r="E59" s="35"/>
      <c r="F59" s="35"/>
      <c r="G59" s="35"/>
      <c r="I59" s="169"/>
    </row>
    <row r="60" spans="3:9" x14ac:dyDescent="0.15">
      <c r="E60" s="35"/>
      <c r="F60" s="35"/>
      <c r="G60" s="35"/>
      <c r="I60" s="169"/>
    </row>
    <row r="61" spans="3:9" x14ac:dyDescent="0.15">
      <c r="E61" s="35"/>
      <c r="F61" s="35"/>
      <c r="G61" s="35"/>
      <c r="I61" s="170"/>
    </row>
    <row r="62" spans="3:9" x14ac:dyDescent="0.15">
      <c r="E62" s="35"/>
      <c r="F62" s="35"/>
      <c r="G62" s="35"/>
      <c r="I62" s="170"/>
    </row>
    <row r="63" spans="3:9" x14ac:dyDescent="0.15">
      <c r="E63" s="35"/>
      <c r="F63" s="35"/>
      <c r="G63" s="35"/>
      <c r="I63" s="170"/>
    </row>
    <row r="64" spans="3:9" x14ac:dyDescent="0.15">
      <c r="C64" s="37"/>
      <c r="D64" s="38"/>
      <c r="E64" s="35"/>
      <c r="F64" s="35"/>
      <c r="G64" s="35"/>
      <c r="I64" s="169"/>
    </row>
    <row r="65" spans="3:9" x14ac:dyDescent="0.15">
      <c r="C65" s="37"/>
      <c r="D65" s="38"/>
      <c r="E65" s="35"/>
      <c r="F65" s="35"/>
      <c r="G65" s="35"/>
      <c r="I65" s="7"/>
    </row>
  </sheetData>
  <mergeCells count="32">
    <mergeCell ref="G4:H4"/>
    <mergeCell ref="G25:H25"/>
    <mergeCell ref="B39:C39"/>
    <mergeCell ref="B40:C40"/>
    <mergeCell ref="B41:C41"/>
    <mergeCell ref="B32:C32"/>
    <mergeCell ref="B14:C14"/>
    <mergeCell ref="B15:C15"/>
    <mergeCell ref="B16:C16"/>
    <mergeCell ref="B17:C17"/>
    <mergeCell ref="B18:C18"/>
    <mergeCell ref="B19:C19"/>
    <mergeCell ref="B20:C20"/>
    <mergeCell ref="B22:C22"/>
    <mergeCell ref="B26:C26"/>
    <mergeCell ref="B27:C27"/>
    <mergeCell ref="B43:C43"/>
    <mergeCell ref="B33:C33"/>
    <mergeCell ref="B34:C34"/>
    <mergeCell ref="B35:C35"/>
    <mergeCell ref="B36:C36"/>
    <mergeCell ref="B37:C37"/>
    <mergeCell ref="B38:C38"/>
    <mergeCell ref="B42:C42"/>
    <mergeCell ref="B31:C31"/>
    <mergeCell ref="B13:C13"/>
    <mergeCell ref="B5:C5"/>
    <mergeCell ref="B6:C6"/>
    <mergeCell ref="B10:C10"/>
    <mergeCell ref="B11:C11"/>
    <mergeCell ref="B12:C12"/>
    <mergeCell ref="B21:C21"/>
  </mergeCells>
  <phoneticPr fontId="2"/>
  <printOptions horizontalCentered="1"/>
  <pageMargins left="0.70866141732283472" right="0.70866141732283472" top="1.1417322834645669" bottom="0.74803149606299213" header="0.70866141732283472"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データ削除_疾患別_65歳以上">
                <anchor moveWithCells="1" sizeWithCells="1">
                  <from>
                    <xdr:col>11</xdr:col>
                    <xdr:colOff>552450</xdr:colOff>
                    <xdr:row>4</xdr:row>
                    <xdr:rowOff>19050</xdr:rowOff>
                  </from>
                  <to>
                    <xdr:col>13</xdr:col>
                    <xdr:colOff>533400</xdr:colOff>
                    <xdr:row>5</xdr:row>
                    <xdr:rowOff>228600</xdr:rowOff>
                  </to>
                </anchor>
              </controlPr>
            </control>
          </mc:Choice>
        </mc:AlternateContent>
      </controls>
    </mc:Choice>
  </mc:AlternateContent>
  <tableParts count="2">
    <tablePart r:id="rId5"/>
    <tablePart r:id="rId6"/>
  </tablePart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rgb="FFFFC000"/>
    <pageSetUpPr fitToPage="1"/>
  </sheetPr>
  <dimension ref="A1:R50"/>
  <sheetViews>
    <sheetView showGridLines="0" view="pageBreakPreview" zoomScale="80" zoomScaleNormal="100" zoomScaleSheetLayoutView="80" workbookViewId="0">
      <selection activeCell="J1" sqref="J1:T1048576"/>
    </sheetView>
  </sheetViews>
  <sheetFormatPr defaultRowHeight="18.75" x14ac:dyDescent="0.15"/>
  <cols>
    <col min="1" max="1" width="23.75" style="1" customWidth="1"/>
    <col min="2" max="4" width="9.375" style="1" customWidth="1"/>
    <col min="5" max="5" width="9.375" style="41" customWidth="1"/>
    <col min="6" max="6" width="0.625" style="1" customWidth="1"/>
    <col min="7" max="8" width="9.375" style="1" customWidth="1"/>
    <col min="9" max="9" width="9" style="1"/>
    <col min="10" max="14" width="13.625" style="1" hidden="1" customWidth="1"/>
    <col min="15" max="18" width="9" style="1" hidden="1" customWidth="1"/>
    <col min="19" max="20" width="0" style="1" hidden="1" customWidth="1"/>
    <col min="21" max="16384" width="9" style="1"/>
  </cols>
  <sheetData>
    <row r="1" spans="1:17" ht="19.5" x14ac:dyDescent="0.15">
      <c r="A1" s="2" t="s">
        <v>206</v>
      </c>
    </row>
    <row r="3" spans="1:17" ht="18.75" customHeight="1" x14ac:dyDescent="0.15">
      <c r="A3" s="906"/>
      <c r="B3" s="901" t="s">
        <v>109</v>
      </c>
      <c r="C3" s="902"/>
      <c r="D3" s="902"/>
      <c r="E3" s="903"/>
      <c r="F3" s="136"/>
      <c r="G3" s="907" t="s">
        <v>105</v>
      </c>
      <c r="H3" s="908"/>
      <c r="J3" s="55" t="s">
        <v>63</v>
      </c>
    </row>
    <row r="4" spans="1:17" ht="18.75" customHeight="1" thickBot="1" x14ac:dyDescent="0.2">
      <c r="A4" s="906"/>
      <c r="B4" s="901"/>
      <c r="C4" s="903"/>
      <c r="D4" s="904" t="s">
        <v>104</v>
      </c>
      <c r="E4" s="905"/>
      <c r="F4" s="136"/>
      <c r="G4" s="909"/>
      <c r="H4" s="910"/>
      <c r="J4" s="383" t="s">
        <v>299</v>
      </c>
      <c r="K4" s="480" t="s">
        <v>278</v>
      </c>
      <c r="L4" s="3"/>
      <c r="M4" s="383" t="s">
        <v>299</v>
      </c>
      <c r="N4" s="487" t="s">
        <v>305</v>
      </c>
    </row>
    <row r="5" spans="1:17" ht="18.75" customHeight="1" thickTop="1" thickBot="1" x14ac:dyDescent="0.2">
      <c r="A5" s="906"/>
      <c r="B5" s="336" t="s">
        <v>0</v>
      </c>
      <c r="C5" s="337" t="s">
        <v>1</v>
      </c>
      <c r="D5" s="336" t="s">
        <v>0</v>
      </c>
      <c r="E5" s="337" t="s">
        <v>1</v>
      </c>
      <c r="F5" s="136"/>
      <c r="G5" s="336" t="s">
        <v>0</v>
      </c>
      <c r="H5" s="337" t="s">
        <v>1</v>
      </c>
      <c r="J5" s="423" t="s">
        <v>373</v>
      </c>
      <c r="K5" s="127" t="s">
        <v>618</v>
      </c>
      <c r="M5" s="423" t="s">
        <v>373</v>
      </c>
      <c r="N5" s="127" t="s">
        <v>618</v>
      </c>
    </row>
    <row r="6" spans="1:17" ht="18.75" customHeight="1" thickTop="1" x14ac:dyDescent="0.15">
      <c r="A6" s="281" t="s">
        <v>60</v>
      </c>
      <c r="B6" s="338">
        <f>IFERROR(VLOOKUP($Q6,在院期間＿65歳以上[#All],2,FALSE),0)</f>
        <v>793</v>
      </c>
      <c r="C6" s="464">
        <f>IFERROR(B6/B$22,"-")</f>
        <v>8.7556586066026273E-2</v>
      </c>
      <c r="D6" s="339">
        <f>IFERROR(VLOOKUP($Q6,在院期間＿65歳以上＿寛解・院内寛解[#All],2,FALSE),0)</f>
        <v>124</v>
      </c>
      <c r="E6" s="466">
        <f>IFERROR(D6/D$22,"-")</f>
        <v>0.14868105515587529</v>
      </c>
      <c r="G6" s="342">
        <f>'２-Ⅳ'!B5</f>
        <v>1712</v>
      </c>
      <c r="H6" s="343">
        <f>IFERROR(G6/G$22,"-")</f>
        <v>0.11419423692636073</v>
      </c>
      <c r="J6" s="42" t="s">
        <v>182</v>
      </c>
      <c r="K6" s="59">
        <v>793</v>
      </c>
      <c r="M6" s="42" t="s">
        <v>182</v>
      </c>
      <c r="N6" s="59">
        <v>124</v>
      </c>
      <c r="Q6" s="399" t="s">
        <v>182</v>
      </c>
    </row>
    <row r="7" spans="1:17" ht="18.75" customHeight="1" x14ac:dyDescent="0.15">
      <c r="A7" s="281" t="s">
        <v>207</v>
      </c>
      <c r="B7" s="338">
        <f>IFERROR(VLOOKUP($Q7,在院期間＿65歳以上[#All],2,FALSE),0)</f>
        <v>1087</v>
      </c>
      <c r="C7" s="464">
        <f t="shared" ref="C7:C26" si="0">IFERROR(B7/B$22,"-")</f>
        <v>0.12001766589378382</v>
      </c>
      <c r="D7" s="339">
        <f>IFERROR(VLOOKUP($Q7,在院期間＿65歳以上＿寛解・院内寛解[#All],2,FALSE),0)</f>
        <v>200</v>
      </c>
      <c r="E7" s="466">
        <f t="shared" ref="E7:E21" si="1">IFERROR(D7/D$22,"-")</f>
        <v>0.23980815347721823</v>
      </c>
      <c r="G7" s="342">
        <f>'２-Ⅳ'!B6</f>
        <v>2041</v>
      </c>
      <c r="H7" s="343">
        <f t="shared" ref="H7:H26" si="2">IFERROR(G7/G$22,"-")</f>
        <v>0.13613927427961581</v>
      </c>
      <c r="J7" s="42" t="s">
        <v>183</v>
      </c>
      <c r="K7" s="538">
        <v>1087</v>
      </c>
      <c r="M7" s="42" t="s">
        <v>183</v>
      </c>
      <c r="N7" s="395">
        <v>200</v>
      </c>
      <c r="Q7" s="399" t="s">
        <v>183</v>
      </c>
    </row>
    <row r="8" spans="1:17" ht="18.75" customHeight="1" x14ac:dyDescent="0.15">
      <c r="A8" s="281" t="s">
        <v>208</v>
      </c>
      <c r="B8" s="338">
        <f>IFERROR(VLOOKUP($Q8,在院期間＿65歳以上[#All],2,FALSE),0)</f>
        <v>661</v>
      </c>
      <c r="C8" s="464">
        <f t="shared" si="0"/>
        <v>7.2982223694380038E-2</v>
      </c>
      <c r="D8" s="339">
        <f>IFERROR(VLOOKUP($Q8,在院期間＿65歳以上＿寛解・院内寛解[#All],2,FALSE),0)</f>
        <v>84</v>
      </c>
      <c r="E8" s="466">
        <f t="shared" si="1"/>
        <v>0.10071942446043165</v>
      </c>
      <c r="G8" s="342">
        <f>'２-Ⅳ'!B7</f>
        <v>1041</v>
      </c>
      <c r="H8" s="343">
        <f t="shared" si="2"/>
        <v>6.9437033084311636E-2</v>
      </c>
      <c r="J8" s="42" t="s">
        <v>184</v>
      </c>
      <c r="K8" s="59">
        <v>661</v>
      </c>
      <c r="M8" s="42" t="s">
        <v>184</v>
      </c>
      <c r="N8" s="395">
        <v>84</v>
      </c>
      <c r="Q8" s="400" t="s">
        <v>184</v>
      </c>
    </row>
    <row r="9" spans="1:17" ht="18.75" customHeight="1" x14ac:dyDescent="0.15">
      <c r="A9" s="281" t="s">
        <v>209</v>
      </c>
      <c r="B9" s="338">
        <f>IFERROR(VLOOKUP($Q9,在院期間＿65歳以上[#All],2,FALSE),0)</f>
        <v>1004</v>
      </c>
      <c r="C9" s="464">
        <f t="shared" si="0"/>
        <v>0.11085348349343049</v>
      </c>
      <c r="D9" s="339">
        <f>IFERROR(VLOOKUP($Q9,在院期間＿65歳以上＿寛解・院内寛解[#All],2,FALSE),0)</f>
        <v>106</v>
      </c>
      <c r="E9" s="466">
        <f t="shared" si="1"/>
        <v>0.12709832134292565</v>
      </c>
      <c r="G9" s="342">
        <f>'２-Ⅳ'!B8</f>
        <v>1434</v>
      </c>
      <c r="H9" s="343">
        <f t="shared" si="2"/>
        <v>9.5651013874066174E-2</v>
      </c>
      <c r="J9" s="42" t="s">
        <v>185</v>
      </c>
      <c r="K9" s="538">
        <v>1004</v>
      </c>
      <c r="M9" s="42" t="s">
        <v>185</v>
      </c>
      <c r="N9" s="395">
        <v>106</v>
      </c>
      <c r="Q9" s="399" t="s">
        <v>185</v>
      </c>
    </row>
    <row r="10" spans="1:17" ht="18.75" customHeight="1" x14ac:dyDescent="0.15">
      <c r="A10" s="281" t="s">
        <v>210</v>
      </c>
      <c r="B10" s="338">
        <f>IFERROR(VLOOKUP($Q10,在院期間＿65歳以上[#All],2,FALSE),0)</f>
        <v>638</v>
      </c>
      <c r="C10" s="464">
        <f t="shared" si="0"/>
        <v>7.0442751462956824E-2</v>
      </c>
      <c r="D10" s="339">
        <f>IFERROR(VLOOKUP($Q10,在院期間＿65歳以上＿寛解・院内寛解[#All],2,FALSE),0)</f>
        <v>41</v>
      </c>
      <c r="E10" s="466">
        <f t="shared" si="1"/>
        <v>4.9160671462829736E-2</v>
      </c>
      <c r="G10" s="342">
        <f>'２-Ⅳ'!B9</f>
        <v>921</v>
      </c>
      <c r="H10" s="343">
        <f t="shared" si="2"/>
        <v>6.1432764140875132E-2</v>
      </c>
      <c r="J10" s="42" t="s">
        <v>186</v>
      </c>
      <c r="K10" s="59">
        <v>638</v>
      </c>
      <c r="M10" s="42" t="s">
        <v>186</v>
      </c>
      <c r="N10" s="395">
        <v>41</v>
      </c>
      <c r="Q10" s="400" t="s">
        <v>186</v>
      </c>
    </row>
    <row r="11" spans="1:17" ht="18.75" customHeight="1" x14ac:dyDescent="0.15">
      <c r="A11" s="281" t="s">
        <v>211</v>
      </c>
      <c r="B11" s="338">
        <f>IFERROR(VLOOKUP($Q11,在院期間＿65歳以上[#All],2,FALSE),0)</f>
        <v>530</v>
      </c>
      <c r="C11" s="464">
        <f t="shared" si="0"/>
        <v>5.8518273158882632E-2</v>
      </c>
      <c r="D11" s="339">
        <f>IFERROR(VLOOKUP($Q11,在院期間＿65歳以上＿寛解・院内寛解[#All],2,FALSE),0)</f>
        <v>39</v>
      </c>
      <c r="E11" s="466">
        <f t="shared" si="1"/>
        <v>4.6762589928057555E-2</v>
      </c>
      <c r="G11" s="342">
        <f>'２-Ⅳ'!B10</f>
        <v>759</v>
      </c>
      <c r="H11" s="343">
        <f t="shared" si="2"/>
        <v>5.0627001067235861E-2</v>
      </c>
      <c r="J11" s="42" t="s">
        <v>187</v>
      </c>
      <c r="K11" s="59">
        <v>530</v>
      </c>
      <c r="M11" s="42" t="s">
        <v>187</v>
      </c>
      <c r="N11" s="395">
        <v>39</v>
      </c>
      <c r="Q11" s="399" t="s">
        <v>187</v>
      </c>
    </row>
    <row r="12" spans="1:17" ht="18.75" customHeight="1" x14ac:dyDescent="0.15">
      <c r="A12" s="281" t="s">
        <v>212</v>
      </c>
      <c r="B12" s="338">
        <f>IFERROR(VLOOKUP($Q12,在院期間＿65歳以上[#All],2,FALSE),0)</f>
        <v>867</v>
      </c>
      <c r="C12" s="464">
        <f t="shared" si="0"/>
        <v>9.5727061941040081E-2</v>
      </c>
      <c r="D12" s="339">
        <f>IFERROR(VLOOKUP($Q12,在院期間＿65歳以上＿寛解・院内寛解[#All],2,FALSE),0)</f>
        <v>45</v>
      </c>
      <c r="E12" s="466">
        <f t="shared" si="1"/>
        <v>5.3956834532374098E-2</v>
      </c>
      <c r="G12" s="342">
        <f>'２-Ⅳ'!B11</f>
        <v>1261</v>
      </c>
      <c r="H12" s="343">
        <f t="shared" si="2"/>
        <v>8.4111526147278542E-2</v>
      </c>
      <c r="J12" s="42" t="s">
        <v>188</v>
      </c>
      <c r="K12" s="59">
        <v>867</v>
      </c>
      <c r="M12" s="42" t="s">
        <v>188</v>
      </c>
      <c r="N12" s="395">
        <v>45</v>
      </c>
      <c r="Q12" s="400" t="s">
        <v>188</v>
      </c>
    </row>
    <row r="13" spans="1:17" ht="18.75" customHeight="1" x14ac:dyDescent="0.15">
      <c r="A13" s="281" t="s">
        <v>213</v>
      </c>
      <c r="B13" s="338">
        <f>IFERROR(VLOOKUP($Q13,在院期間＿65歳以上[#All],2,FALSE),0)</f>
        <v>624</v>
      </c>
      <c r="C13" s="464">
        <f t="shared" si="0"/>
        <v>6.8896985756873141E-2</v>
      </c>
      <c r="D13" s="339">
        <f>IFERROR(VLOOKUP($Q13,在院期間＿65歳以上＿寛解・院内寛解[#All],2,FALSE),0)</f>
        <v>46</v>
      </c>
      <c r="E13" s="466">
        <f t="shared" si="1"/>
        <v>5.5155875299760189E-2</v>
      </c>
      <c r="G13" s="342">
        <f>'２-Ⅳ'!B12</f>
        <v>935</v>
      </c>
      <c r="H13" s="343">
        <f t="shared" si="2"/>
        <v>6.236659551760939E-2</v>
      </c>
      <c r="J13" s="42" t="s">
        <v>189</v>
      </c>
      <c r="K13" s="59">
        <v>624</v>
      </c>
      <c r="M13" s="42" t="s">
        <v>189</v>
      </c>
      <c r="N13" s="395">
        <v>46</v>
      </c>
      <c r="Q13" s="399" t="s">
        <v>189</v>
      </c>
    </row>
    <row r="14" spans="1:17" ht="18.75" customHeight="1" x14ac:dyDescent="0.15">
      <c r="A14" s="281" t="s">
        <v>214</v>
      </c>
      <c r="B14" s="338">
        <f>IFERROR(VLOOKUP($Q14,在院期間＿65歳以上[#All],2,FALSE),0)</f>
        <v>469</v>
      </c>
      <c r="C14" s="464">
        <f t="shared" si="0"/>
        <v>5.1783151153803685E-2</v>
      </c>
      <c r="D14" s="339">
        <f>IFERROR(VLOOKUP($Q14,在院期間＿65歳以上＿寛解・院内寛解[#All],2,FALSE),0)</f>
        <v>23</v>
      </c>
      <c r="E14" s="466">
        <f t="shared" si="1"/>
        <v>2.7577937649880094E-2</v>
      </c>
      <c r="G14" s="342">
        <f>'２-Ⅳ'!B13</f>
        <v>758</v>
      </c>
      <c r="H14" s="343">
        <f t="shared" si="2"/>
        <v>5.0560298826040552E-2</v>
      </c>
      <c r="J14" s="42" t="s">
        <v>190</v>
      </c>
      <c r="K14" s="59">
        <v>469</v>
      </c>
      <c r="M14" s="42" t="s">
        <v>190</v>
      </c>
      <c r="N14" s="395">
        <v>23</v>
      </c>
      <c r="Q14" s="400" t="s">
        <v>190</v>
      </c>
    </row>
    <row r="15" spans="1:17" ht="18.75" customHeight="1" x14ac:dyDescent="0.15">
      <c r="A15" s="281" t="s">
        <v>215</v>
      </c>
      <c r="B15" s="338">
        <f>IFERROR(VLOOKUP($Q15,在院期間＿65歳以上[#All],2,FALSE),0)</f>
        <v>352</v>
      </c>
      <c r="C15" s="464">
        <f t="shared" si="0"/>
        <v>3.8864966324389974E-2</v>
      </c>
      <c r="D15" s="339">
        <f>IFERROR(VLOOKUP($Q15,在院期間＿65歳以上＿寛解・院内寛解[#All],2,FALSE),0)</f>
        <v>22</v>
      </c>
      <c r="E15" s="466">
        <f t="shared" si="1"/>
        <v>2.6378896882494004E-2</v>
      </c>
      <c r="G15" s="342">
        <f>'２-Ⅳ'!B14</f>
        <v>577</v>
      </c>
      <c r="H15" s="343">
        <f t="shared" si="2"/>
        <v>3.8487193169690501E-2</v>
      </c>
      <c r="J15" s="42" t="s">
        <v>191</v>
      </c>
      <c r="K15" s="59">
        <v>352</v>
      </c>
      <c r="M15" s="42" t="s">
        <v>191</v>
      </c>
      <c r="N15" s="395">
        <v>22</v>
      </c>
      <c r="Q15" s="399" t="s">
        <v>191</v>
      </c>
    </row>
    <row r="16" spans="1:17" ht="18.75" customHeight="1" x14ac:dyDescent="0.15">
      <c r="A16" s="281" t="s">
        <v>216</v>
      </c>
      <c r="B16" s="338">
        <f>IFERROR(VLOOKUP($Q16,在院期間＿65歳以上[#All],2,FALSE),0)</f>
        <v>239</v>
      </c>
      <c r="C16" s="464">
        <f t="shared" si="0"/>
        <v>2.6388428839571602E-2</v>
      </c>
      <c r="D16" s="339">
        <f>IFERROR(VLOOKUP($Q16,在院期間＿65歳以上＿寛解・院内寛解[#All],2,FALSE),0)</f>
        <v>8</v>
      </c>
      <c r="E16" s="466">
        <f t="shared" si="1"/>
        <v>9.5923261390887284E-3</v>
      </c>
      <c r="G16" s="342">
        <f>'２-Ⅳ'!B15</f>
        <v>397</v>
      </c>
      <c r="H16" s="343">
        <f t="shared" si="2"/>
        <v>2.6480789754535751E-2</v>
      </c>
      <c r="J16" s="42" t="s">
        <v>192</v>
      </c>
      <c r="K16" s="59">
        <v>239</v>
      </c>
      <c r="M16" s="42" t="s">
        <v>192</v>
      </c>
      <c r="N16" s="395">
        <v>8</v>
      </c>
      <c r="Q16" s="400" t="s">
        <v>192</v>
      </c>
    </row>
    <row r="17" spans="1:17" ht="18.75" customHeight="1" x14ac:dyDescent="0.15">
      <c r="A17" s="281" t="s">
        <v>217</v>
      </c>
      <c r="B17" s="338">
        <f>IFERROR(VLOOKUP($Q17,在院期間＿65歳以上[#All],2,FALSE),0)</f>
        <v>187</v>
      </c>
      <c r="C17" s="464">
        <f t="shared" si="0"/>
        <v>2.0647013359832173E-2</v>
      </c>
      <c r="D17" s="339">
        <f>IFERROR(VLOOKUP($Q17,在院期間＿65歳以上＿寛解・院内寛解[#All],2,FALSE),0)</f>
        <v>14</v>
      </c>
      <c r="E17" s="466">
        <f t="shared" si="1"/>
        <v>1.6786570743405275E-2</v>
      </c>
      <c r="G17" s="342">
        <f>'２-Ⅳ'!B16</f>
        <v>367</v>
      </c>
      <c r="H17" s="343">
        <f t="shared" si="2"/>
        <v>2.4479722518676628E-2</v>
      </c>
      <c r="J17" s="42" t="s">
        <v>193</v>
      </c>
      <c r="K17" s="59">
        <v>187</v>
      </c>
      <c r="M17" s="42" t="s">
        <v>193</v>
      </c>
      <c r="N17" s="395">
        <v>14</v>
      </c>
      <c r="Q17" s="399" t="s">
        <v>193</v>
      </c>
    </row>
    <row r="18" spans="1:17" ht="18.75" customHeight="1" x14ac:dyDescent="0.15">
      <c r="A18" s="281" t="s">
        <v>218</v>
      </c>
      <c r="B18" s="338">
        <f>IFERROR(VLOOKUP($Q18,在院期間＿65歳以上[#All],2,FALSE),0)</f>
        <v>184</v>
      </c>
      <c r="C18" s="464">
        <f t="shared" si="0"/>
        <v>2.0315777851385667E-2</v>
      </c>
      <c r="D18" s="339">
        <f>IFERROR(VLOOKUP($Q18,在院期間＿65歳以上＿寛解・院内寛解[#All],2,FALSE),0)</f>
        <v>11</v>
      </c>
      <c r="E18" s="466">
        <f t="shared" si="1"/>
        <v>1.3189448441247002E-2</v>
      </c>
      <c r="G18" s="342">
        <f>'２-Ⅳ'!B17</f>
        <v>311</v>
      </c>
      <c r="H18" s="343">
        <f t="shared" si="2"/>
        <v>2.0744397011739593E-2</v>
      </c>
      <c r="J18" s="42" t="s">
        <v>194</v>
      </c>
      <c r="K18" s="59">
        <v>184</v>
      </c>
      <c r="M18" s="42" t="s">
        <v>194</v>
      </c>
      <c r="N18" s="395">
        <v>11</v>
      </c>
      <c r="Q18" s="400" t="s">
        <v>194</v>
      </c>
    </row>
    <row r="19" spans="1:17" ht="18.75" customHeight="1" x14ac:dyDescent="0.15">
      <c r="A19" s="281" t="s">
        <v>219</v>
      </c>
      <c r="B19" s="338">
        <f>IFERROR(VLOOKUP($Q19,在院期間＿65歳以上[#All],2,FALSE),0)</f>
        <v>133</v>
      </c>
      <c r="C19" s="464">
        <f t="shared" si="0"/>
        <v>1.4684774207795076E-2</v>
      </c>
      <c r="D19" s="339">
        <f>IFERROR(VLOOKUP($Q19,在院期間＿65歳以上＿寛解・院内寛解[#All],2,FALSE),0)</f>
        <v>3</v>
      </c>
      <c r="E19" s="466">
        <f t="shared" si="1"/>
        <v>3.5971223021582736E-3</v>
      </c>
      <c r="G19" s="342">
        <f>'２-Ⅳ'!B18</f>
        <v>257</v>
      </c>
      <c r="H19" s="343">
        <f t="shared" si="2"/>
        <v>1.7142475987193168E-2</v>
      </c>
      <c r="J19" s="42" t="s">
        <v>195</v>
      </c>
      <c r="K19" s="59">
        <v>133</v>
      </c>
      <c r="M19" s="42" t="s">
        <v>195</v>
      </c>
      <c r="N19" s="395">
        <v>3</v>
      </c>
      <c r="Q19" s="399" t="s">
        <v>195</v>
      </c>
    </row>
    <row r="20" spans="1:17" ht="18.75" customHeight="1" x14ac:dyDescent="0.15">
      <c r="A20" s="281" t="s">
        <v>220</v>
      </c>
      <c r="B20" s="338">
        <f>IFERROR(VLOOKUP($Q20,在院期間＿65歳以上[#All],2,FALSE),0)</f>
        <v>756</v>
      </c>
      <c r="C20" s="464">
        <f t="shared" si="0"/>
        <v>8.3471348128519376E-2</v>
      </c>
      <c r="D20" s="339">
        <f>IFERROR(VLOOKUP($Q20,在院期間＿65歳以上＿寛解・院内寛解[#All],2,FALSE),0)</f>
        <v>43</v>
      </c>
      <c r="E20" s="466">
        <f t="shared" si="1"/>
        <v>5.1558752997601917E-2</v>
      </c>
      <c r="G20" s="342">
        <f>'２-Ⅳ'!B19</f>
        <v>1395</v>
      </c>
      <c r="H20" s="343">
        <f t="shared" si="2"/>
        <v>9.3049626467449312E-2</v>
      </c>
      <c r="J20" s="42" t="s">
        <v>196</v>
      </c>
      <c r="K20" s="59">
        <v>756</v>
      </c>
      <c r="M20" s="42" t="s">
        <v>196</v>
      </c>
      <c r="N20" s="395">
        <v>43</v>
      </c>
      <c r="Q20" s="400" t="s">
        <v>196</v>
      </c>
    </row>
    <row r="21" spans="1:17" ht="18.75" customHeight="1" x14ac:dyDescent="0.15">
      <c r="A21" s="281" t="s">
        <v>61</v>
      </c>
      <c r="B21" s="338">
        <f>IFERROR(VLOOKUP($Q21,在院期間＿65歳以上[#All],2,FALSE),0)</f>
        <v>533</v>
      </c>
      <c r="C21" s="465">
        <f t="shared" si="0"/>
        <v>5.8849508667329138E-2</v>
      </c>
      <c r="D21" s="339">
        <f>IFERROR(VLOOKUP($Q21,在院期間＿65歳以上＿寛解・院内寛解[#All],2,FALSE),0)</f>
        <v>25</v>
      </c>
      <c r="E21" s="467">
        <f t="shared" si="1"/>
        <v>2.9976019184652279E-2</v>
      </c>
      <c r="G21" s="342">
        <f>'２-Ⅳ'!B20</f>
        <v>826</v>
      </c>
      <c r="H21" s="344">
        <f t="shared" si="2"/>
        <v>5.5096051227321238E-2</v>
      </c>
      <c r="I21" s="136"/>
      <c r="J21" s="42" t="s">
        <v>197</v>
      </c>
      <c r="K21" s="59">
        <v>533</v>
      </c>
      <c r="M21" s="42" t="s">
        <v>197</v>
      </c>
      <c r="N21" s="395">
        <v>25</v>
      </c>
      <c r="Q21" s="399" t="s">
        <v>197</v>
      </c>
    </row>
    <row r="22" spans="1:17" ht="18.75" customHeight="1" x14ac:dyDescent="0.15">
      <c r="A22" s="345" t="s">
        <v>160</v>
      </c>
      <c r="B22" s="346">
        <f>SUM(B6:B21)</f>
        <v>9057</v>
      </c>
      <c r="C22" s="347">
        <f t="shared" ref="C22:D22" si="3">SUM(C6:C21)</f>
        <v>1.0000000000000002</v>
      </c>
      <c r="D22" s="346">
        <f t="shared" si="3"/>
        <v>834</v>
      </c>
      <c r="E22" s="348">
        <f t="shared" ref="E22" si="4">SUM(E6:E21)</f>
        <v>1</v>
      </c>
      <c r="G22" s="350">
        <f>SUM(G6:G21)</f>
        <v>14992</v>
      </c>
      <c r="H22" s="349">
        <f t="shared" ref="H22" si="5">SUM(H6:H21)</f>
        <v>0.99999999999999989</v>
      </c>
      <c r="I22" s="147"/>
    </row>
    <row r="23" spans="1:17" ht="18.75" customHeight="1" x14ac:dyDescent="0.15">
      <c r="A23" s="293" t="s">
        <v>56</v>
      </c>
      <c r="B23" s="340">
        <f>SUM(B6:B9)</f>
        <v>3545</v>
      </c>
      <c r="C23" s="341">
        <f t="shared" si="0"/>
        <v>0.39140995914762061</v>
      </c>
      <c r="D23" s="340">
        <f>SUM(D6:D9)</f>
        <v>514</v>
      </c>
      <c r="E23" s="341">
        <f>IFERROR(D23/D$22,"-")</f>
        <v>0.61630695443645089</v>
      </c>
      <c r="F23" s="56"/>
      <c r="G23" s="340">
        <f>SUM(G6:G9)</f>
        <v>6228</v>
      </c>
      <c r="H23" s="341">
        <f t="shared" si="2"/>
        <v>0.41542155816435433</v>
      </c>
    </row>
    <row r="24" spans="1:17" ht="18.75" customHeight="1" x14ac:dyDescent="0.15">
      <c r="A24" s="293" t="s">
        <v>57</v>
      </c>
      <c r="B24" s="340">
        <f>SUM(B10:B14)</f>
        <v>3128</v>
      </c>
      <c r="C24" s="341">
        <f t="shared" si="0"/>
        <v>0.34536822347355639</v>
      </c>
      <c r="D24" s="340">
        <f>SUM(D10:D14)</f>
        <v>194</v>
      </c>
      <c r="E24" s="341">
        <f t="shared" ref="E24:E26" si="6">IFERROR(D24/D$22,"-")</f>
        <v>0.23261390887290168</v>
      </c>
      <c r="F24" s="56"/>
      <c r="G24" s="340">
        <f>SUM(G10:G14)</f>
        <v>4634</v>
      </c>
      <c r="H24" s="341">
        <f t="shared" si="2"/>
        <v>0.30909818569903946</v>
      </c>
    </row>
    <row r="25" spans="1:17" ht="18.75" customHeight="1" x14ac:dyDescent="0.15">
      <c r="A25" s="293" t="s">
        <v>58</v>
      </c>
      <c r="B25" s="340">
        <f>SUM(B15:B19)</f>
        <v>1095</v>
      </c>
      <c r="C25" s="341">
        <f t="shared" si="0"/>
        <v>0.12090096058297449</v>
      </c>
      <c r="D25" s="340">
        <f>SUM(D15:D19)</f>
        <v>58</v>
      </c>
      <c r="E25" s="341">
        <f t="shared" si="6"/>
        <v>6.9544364508393283E-2</v>
      </c>
      <c r="F25" s="56"/>
      <c r="G25" s="340">
        <f>SUM(G15:G19)</f>
        <v>1909</v>
      </c>
      <c r="H25" s="341">
        <f t="shared" si="2"/>
        <v>0.12733457844183566</v>
      </c>
    </row>
    <row r="26" spans="1:17" ht="18.75" customHeight="1" x14ac:dyDescent="0.15">
      <c r="A26" s="293" t="s">
        <v>59</v>
      </c>
      <c r="B26" s="340">
        <f>SUM(B20:B21)</f>
        <v>1289</v>
      </c>
      <c r="C26" s="341">
        <f t="shared" si="0"/>
        <v>0.14232085679584852</v>
      </c>
      <c r="D26" s="340">
        <f>SUM(D20:D21)</f>
        <v>68</v>
      </c>
      <c r="E26" s="341">
        <f t="shared" si="6"/>
        <v>8.1534772182254203E-2</v>
      </c>
      <c r="F26" s="56"/>
      <c r="G26" s="340">
        <f>SUM(G20:G21)</f>
        <v>2221</v>
      </c>
      <c r="H26" s="341">
        <f t="shared" si="2"/>
        <v>0.14814567769477055</v>
      </c>
    </row>
    <row r="30" spans="1:17" x14ac:dyDescent="0.15">
      <c r="C30" s="4"/>
    </row>
    <row r="33" spans="1:3" x14ac:dyDescent="0.15">
      <c r="A33" s="139"/>
      <c r="B33" s="32"/>
      <c r="C33" s="32"/>
    </row>
    <row r="34" spans="1:3" x14ac:dyDescent="0.15">
      <c r="A34" s="37"/>
      <c r="B34" s="38"/>
      <c r="C34" s="44"/>
    </row>
    <row r="35" spans="1:3" x14ac:dyDescent="0.15">
      <c r="A35" s="37"/>
      <c r="B35" s="38"/>
      <c r="C35" s="44"/>
    </row>
    <row r="36" spans="1:3" x14ac:dyDescent="0.15">
      <c r="A36" s="37"/>
      <c r="B36" s="38"/>
      <c r="C36" s="44"/>
    </row>
    <row r="37" spans="1:3" ht="13.5" customHeight="1" x14ac:dyDescent="0.15">
      <c r="A37" s="37"/>
      <c r="B37" s="38"/>
      <c r="C37" s="44"/>
    </row>
    <row r="38" spans="1:3" x14ac:dyDescent="0.15">
      <c r="A38" s="37"/>
      <c r="B38" s="38"/>
      <c r="C38" s="44"/>
    </row>
    <row r="39" spans="1:3" x14ac:dyDescent="0.15">
      <c r="A39" s="37"/>
      <c r="B39" s="38"/>
      <c r="C39" s="44"/>
    </row>
    <row r="40" spans="1:3" x14ac:dyDescent="0.15">
      <c r="A40" s="37"/>
      <c r="B40" s="38"/>
      <c r="C40" s="44"/>
    </row>
    <row r="41" spans="1:3" x14ac:dyDescent="0.15">
      <c r="A41" s="37"/>
      <c r="B41" s="38"/>
      <c r="C41" s="44"/>
    </row>
    <row r="42" spans="1:3" x14ac:dyDescent="0.15">
      <c r="A42" s="37"/>
      <c r="B42" s="38"/>
      <c r="C42" s="44"/>
    </row>
    <row r="43" spans="1:3" x14ac:dyDescent="0.15">
      <c r="A43" s="37"/>
      <c r="B43" s="38"/>
      <c r="C43" s="44"/>
    </row>
    <row r="44" spans="1:3" x14ac:dyDescent="0.15">
      <c r="A44" s="37"/>
      <c r="B44" s="38"/>
      <c r="C44" s="44"/>
    </row>
    <row r="45" spans="1:3" x14ac:dyDescent="0.15">
      <c r="A45" s="37"/>
      <c r="B45" s="38"/>
      <c r="C45" s="44"/>
    </row>
    <row r="46" spans="1:3" x14ac:dyDescent="0.15">
      <c r="A46" s="37"/>
      <c r="B46" s="38"/>
      <c r="C46" s="44"/>
    </row>
    <row r="47" spans="1:3" x14ac:dyDescent="0.15">
      <c r="A47" s="37"/>
      <c r="B47" s="38"/>
      <c r="C47" s="44"/>
    </row>
    <row r="48" spans="1:3" x14ac:dyDescent="0.15">
      <c r="A48" s="37"/>
      <c r="B48" s="38"/>
      <c r="C48" s="44"/>
    </row>
    <row r="49" spans="1:3" x14ac:dyDescent="0.15">
      <c r="A49" s="37"/>
      <c r="B49" s="38"/>
      <c r="C49" s="44"/>
    </row>
    <row r="50" spans="1:3" x14ac:dyDescent="0.15">
      <c r="A50" s="37"/>
      <c r="B50" s="38"/>
      <c r="C50" s="44"/>
    </row>
  </sheetData>
  <mergeCells count="5">
    <mergeCell ref="B3:C4"/>
    <mergeCell ref="D3:E3"/>
    <mergeCell ref="D4:E4"/>
    <mergeCell ref="A3:A5"/>
    <mergeCell ref="G3:H4"/>
  </mergeCells>
  <phoneticPr fontId="2"/>
  <printOptions horizontalCentered="1"/>
  <pageMargins left="0.70866141732283472" right="0.70866141732283472" top="0.74803149606299213" bottom="0.74803149606299213" header="0.70866141732283472" footer="0.31496062992125984"/>
  <pageSetup paperSize="11" scale="7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Button 1">
              <controlPr defaultSize="0" print="0" autoFill="0" autoPict="0" macro="[0]!データ削除_在院期間_65歳以上">
                <anchor moveWithCells="1" sizeWithCells="1">
                  <from>
                    <xdr:col>14</xdr:col>
                    <xdr:colOff>152400</xdr:colOff>
                    <xdr:row>0</xdr:row>
                    <xdr:rowOff>238125</xdr:rowOff>
                  </from>
                  <to>
                    <xdr:col>15</xdr:col>
                    <xdr:colOff>457200</xdr:colOff>
                    <xdr:row>2</xdr:row>
                    <xdr:rowOff>104775</xdr:rowOff>
                  </to>
                </anchor>
              </controlPr>
            </control>
          </mc:Choice>
        </mc:AlternateContent>
      </controls>
    </mc:Choice>
  </mc:AlternateContent>
  <tableParts count="2">
    <tablePart r:id="rId5"/>
    <tablePart r:id="rId6"/>
  </tablePart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rgb="FFFFC000"/>
    <pageSetUpPr fitToPage="1"/>
  </sheetPr>
  <dimension ref="A1:G36"/>
  <sheetViews>
    <sheetView showGridLines="0" view="pageBreakPreview" zoomScale="90" zoomScaleNormal="100" zoomScaleSheetLayoutView="90" workbookViewId="0">
      <selection activeCell="A15" sqref="A15:F23"/>
    </sheetView>
  </sheetViews>
  <sheetFormatPr defaultRowHeight="18.75" x14ac:dyDescent="0.15"/>
  <cols>
    <col min="1" max="1" width="13.125" style="1" bestFit="1" customWidth="1"/>
    <col min="2" max="3" width="9.375" style="1" customWidth="1"/>
    <col min="4" max="4" width="1.25" style="1" customWidth="1"/>
    <col min="5" max="6" width="9.375" style="1" customWidth="1"/>
    <col min="7" max="7" width="9" style="41" customWidth="1"/>
    <col min="8" max="10" width="9" style="1" customWidth="1"/>
    <col min="11" max="16384" width="9" style="1"/>
  </cols>
  <sheetData>
    <row r="1" spans="1:6" ht="19.5" x14ac:dyDescent="0.15">
      <c r="A1" s="2" t="s">
        <v>221</v>
      </c>
    </row>
    <row r="3" spans="1:6" x14ac:dyDescent="0.15">
      <c r="A3" s="4" t="s">
        <v>222</v>
      </c>
      <c r="B3" s="4"/>
    </row>
    <row r="4" spans="1:6" x14ac:dyDescent="0.35">
      <c r="E4" s="911" t="s">
        <v>105</v>
      </c>
      <c r="F4" s="911"/>
    </row>
    <row r="5" spans="1:6" x14ac:dyDescent="0.15">
      <c r="A5" s="331"/>
      <c r="B5" s="332" t="s">
        <v>0</v>
      </c>
      <c r="C5" s="332" t="s">
        <v>1</v>
      </c>
      <c r="D5" s="140"/>
      <c r="E5" s="332" t="s">
        <v>0</v>
      </c>
      <c r="F5" s="332" t="s">
        <v>1</v>
      </c>
    </row>
    <row r="6" spans="1:6" x14ac:dyDescent="0.15">
      <c r="A6" s="281" t="s">
        <v>28</v>
      </c>
      <c r="B6" s="258">
        <v>172</v>
      </c>
      <c r="C6" s="458">
        <f>IFERROR(B6/B$12,"-")</f>
        <v>1.8990835817599645E-2</v>
      </c>
      <c r="D6" s="142"/>
      <c r="E6" s="282">
        <f>'２-Ⅴ'!B5</f>
        <v>379</v>
      </c>
      <c r="F6" s="458">
        <f>IFERROR(E6/E$12,"-")</f>
        <v>2.5280149413020276E-2</v>
      </c>
    </row>
    <row r="7" spans="1:6" x14ac:dyDescent="0.15">
      <c r="A7" s="281" t="s">
        <v>29</v>
      </c>
      <c r="B7" s="258">
        <v>662</v>
      </c>
      <c r="C7" s="458">
        <f t="shared" ref="C7:C11" si="0">IFERROR(B7/B$12,"-")</f>
        <v>7.3092635530528874E-2</v>
      </c>
      <c r="D7" s="142"/>
      <c r="E7" s="282">
        <f>'２-Ⅴ'!B6</f>
        <v>1278</v>
      </c>
      <c r="F7" s="458">
        <f t="shared" ref="F7:F11" si="1">IFERROR(E7/E$12,"-")</f>
        <v>8.5245464247598726E-2</v>
      </c>
    </row>
    <row r="8" spans="1:6" x14ac:dyDescent="0.15">
      <c r="A8" s="281" t="s">
        <v>30</v>
      </c>
      <c r="B8" s="258">
        <v>1720</v>
      </c>
      <c r="C8" s="458">
        <f t="shared" si="0"/>
        <v>0.18990835817599647</v>
      </c>
      <c r="D8" s="142"/>
      <c r="E8" s="282">
        <f>'２-Ⅴ'!B7</f>
        <v>2959</v>
      </c>
      <c r="F8" s="458">
        <f t="shared" si="1"/>
        <v>0.19737193169690501</v>
      </c>
    </row>
    <row r="9" spans="1:6" x14ac:dyDescent="0.15">
      <c r="A9" s="281" t="s">
        <v>31</v>
      </c>
      <c r="B9" s="258">
        <v>3554</v>
      </c>
      <c r="C9" s="458">
        <f t="shared" si="0"/>
        <v>0.39240366567296014</v>
      </c>
      <c r="D9" s="142"/>
      <c r="E9" s="282">
        <f>'２-Ⅴ'!B8</f>
        <v>5648</v>
      </c>
      <c r="F9" s="458">
        <f t="shared" si="1"/>
        <v>0.37673425827107793</v>
      </c>
    </row>
    <row r="10" spans="1:6" x14ac:dyDescent="0.15">
      <c r="A10" s="281" t="s">
        <v>32</v>
      </c>
      <c r="B10" s="258">
        <v>2487</v>
      </c>
      <c r="C10" s="458">
        <f t="shared" si="0"/>
        <v>0.27459423650215303</v>
      </c>
      <c r="D10" s="142"/>
      <c r="E10" s="282">
        <f>'２-Ⅴ'!B9</f>
        <v>3949</v>
      </c>
      <c r="F10" s="458">
        <f t="shared" si="1"/>
        <v>0.26340715048025615</v>
      </c>
    </row>
    <row r="11" spans="1:6" x14ac:dyDescent="0.15">
      <c r="A11" s="281" t="s">
        <v>33</v>
      </c>
      <c r="B11" s="258">
        <v>462</v>
      </c>
      <c r="C11" s="458">
        <f t="shared" si="0"/>
        <v>5.1010268300761843E-2</v>
      </c>
      <c r="D11" s="142"/>
      <c r="E11" s="282">
        <f>'２-Ⅴ'!B10</f>
        <v>779</v>
      </c>
      <c r="F11" s="458">
        <f t="shared" si="1"/>
        <v>5.1961045891141942E-2</v>
      </c>
    </row>
    <row r="12" spans="1:6" x14ac:dyDescent="0.15">
      <c r="A12" s="345" t="s">
        <v>160</v>
      </c>
      <c r="B12" s="351">
        <f>SUM(B6:B11)</f>
        <v>9057</v>
      </c>
      <c r="C12" s="334">
        <f>SUM(C6:C11)</f>
        <v>1</v>
      </c>
      <c r="D12" s="144"/>
      <c r="E12" s="352">
        <f>SUM(E6:E11)</f>
        <v>14992</v>
      </c>
      <c r="F12" s="334">
        <f>SUM(F6:F11)</f>
        <v>1</v>
      </c>
    </row>
    <row r="13" spans="1:6" x14ac:dyDescent="0.15">
      <c r="D13" s="145"/>
    </row>
    <row r="14" spans="1:6" x14ac:dyDescent="0.15">
      <c r="A14" s="4" t="s">
        <v>223</v>
      </c>
      <c r="D14" s="145"/>
    </row>
    <row r="15" spans="1:6" x14ac:dyDescent="0.35">
      <c r="E15" s="911" t="s">
        <v>105</v>
      </c>
      <c r="F15" s="911"/>
    </row>
    <row r="16" spans="1:6" x14ac:dyDescent="0.15">
      <c r="A16" s="331"/>
      <c r="B16" s="332" t="s">
        <v>0</v>
      </c>
      <c r="C16" s="332" t="s">
        <v>1</v>
      </c>
      <c r="D16" s="140"/>
      <c r="E16" s="332" t="s">
        <v>0</v>
      </c>
      <c r="F16" s="332" t="s">
        <v>1</v>
      </c>
    </row>
    <row r="17" spans="1:6" x14ac:dyDescent="0.15">
      <c r="A17" s="281" t="s">
        <v>28</v>
      </c>
      <c r="B17" s="258">
        <v>39</v>
      </c>
      <c r="C17" s="458">
        <f>IFERROR(B17/B$23,"-")</f>
        <v>7.0754716981132077E-3</v>
      </c>
      <c r="D17" s="142"/>
      <c r="E17" s="282">
        <f>'３-Ⅳ'!B5</f>
        <v>63</v>
      </c>
      <c r="F17" s="458">
        <f>IFERROR(E17/E$23,"-")</f>
        <v>7.1884984025559102E-3</v>
      </c>
    </row>
    <row r="18" spans="1:6" x14ac:dyDescent="0.15">
      <c r="A18" s="281" t="s">
        <v>29</v>
      </c>
      <c r="B18" s="258">
        <v>281</v>
      </c>
      <c r="C18" s="458">
        <f t="shared" ref="C18:C22" si="2">IFERROR(B18/B$23,"-")</f>
        <v>5.0979680696661832E-2</v>
      </c>
      <c r="D18" s="142"/>
      <c r="E18" s="282">
        <f>'３-Ⅳ'!B6</f>
        <v>458</v>
      </c>
      <c r="F18" s="458">
        <f t="shared" ref="F18:F22" si="3">IFERROR(E18/E$23,"-")</f>
        <v>5.2259242355088997E-2</v>
      </c>
    </row>
    <row r="19" spans="1:6" x14ac:dyDescent="0.15">
      <c r="A19" s="281" t="s">
        <v>30</v>
      </c>
      <c r="B19" s="258">
        <v>919</v>
      </c>
      <c r="C19" s="458">
        <f t="shared" si="2"/>
        <v>0.16672714078374457</v>
      </c>
      <c r="D19" s="142"/>
      <c r="E19" s="282">
        <f>'３-Ⅳ'!B7</f>
        <v>1454</v>
      </c>
      <c r="F19" s="458">
        <f t="shared" si="3"/>
        <v>0.16590597900502055</v>
      </c>
    </row>
    <row r="20" spans="1:6" x14ac:dyDescent="0.15">
      <c r="A20" s="281" t="s">
        <v>31</v>
      </c>
      <c r="B20" s="258">
        <v>2344</v>
      </c>
      <c r="C20" s="458">
        <f t="shared" si="2"/>
        <v>0.42525399129172714</v>
      </c>
      <c r="D20" s="142"/>
      <c r="E20" s="282">
        <f>'３-Ⅳ'!B8</f>
        <v>3656</v>
      </c>
      <c r="F20" s="458">
        <f t="shared" si="3"/>
        <v>0.41716111364673664</v>
      </c>
    </row>
    <row r="21" spans="1:6" x14ac:dyDescent="0.15">
      <c r="A21" s="281" t="s">
        <v>32</v>
      </c>
      <c r="B21" s="258">
        <v>1633</v>
      </c>
      <c r="C21" s="458">
        <f t="shared" si="2"/>
        <v>0.29626269956458634</v>
      </c>
      <c r="D21" s="142"/>
      <c r="E21" s="282">
        <f>'３-Ⅳ'!B9</f>
        <v>2610</v>
      </c>
      <c r="F21" s="458">
        <f t="shared" si="3"/>
        <v>0.29780921953445916</v>
      </c>
    </row>
    <row r="22" spans="1:6" x14ac:dyDescent="0.15">
      <c r="A22" s="281" t="s">
        <v>33</v>
      </c>
      <c r="B22" s="258">
        <v>296</v>
      </c>
      <c r="C22" s="458">
        <f t="shared" si="2"/>
        <v>5.3701015965166909E-2</v>
      </c>
      <c r="D22" s="142"/>
      <c r="E22" s="282">
        <f>'３-Ⅳ'!B10</f>
        <v>523</v>
      </c>
      <c r="F22" s="458">
        <f t="shared" si="3"/>
        <v>5.9675947056138746E-2</v>
      </c>
    </row>
    <row r="23" spans="1:6" x14ac:dyDescent="0.15">
      <c r="A23" s="345" t="s">
        <v>160</v>
      </c>
      <c r="B23" s="351">
        <f>SUM(B17:B22)</f>
        <v>5512</v>
      </c>
      <c r="C23" s="334">
        <f>SUM(C17:C22)</f>
        <v>1</v>
      </c>
      <c r="D23" s="144"/>
      <c r="E23" s="352">
        <f>SUM(E17:E22)</f>
        <v>8764</v>
      </c>
      <c r="F23" s="334">
        <f>SUM(F17:F22)</f>
        <v>1</v>
      </c>
    </row>
    <row r="24" spans="1:6" hidden="1" x14ac:dyDescent="0.15"/>
    <row r="25" spans="1:6" hidden="1" x14ac:dyDescent="0.15">
      <c r="B25" s="491" t="s">
        <v>365</v>
      </c>
    </row>
    <row r="26" spans="1:6" hidden="1" x14ac:dyDescent="0.15"/>
    <row r="27" spans="1:6" x14ac:dyDescent="0.15">
      <c r="C27" s="4"/>
      <c r="D27" s="4"/>
      <c r="E27" s="4"/>
      <c r="F27" s="4"/>
    </row>
    <row r="29" spans="1:6" x14ac:dyDescent="0.15">
      <c r="A29" s="139"/>
      <c r="B29" s="32"/>
      <c r="C29" s="32"/>
      <c r="D29" s="32"/>
      <c r="E29" s="32"/>
      <c r="F29" s="32"/>
    </row>
    <row r="30" spans="1:6" x14ac:dyDescent="0.15">
      <c r="A30" s="37"/>
      <c r="B30" s="38"/>
      <c r="C30" s="35"/>
      <c r="D30" s="35"/>
      <c r="E30" s="35"/>
      <c r="F30" s="35"/>
    </row>
    <row r="31" spans="1:6" x14ac:dyDescent="0.15">
      <c r="A31" s="37"/>
      <c r="B31" s="38"/>
      <c r="C31" s="35"/>
      <c r="D31" s="35"/>
      <c r="E31" s="35"/>
      <c r="F31" s="35"/>
    </row>
    <row r="32" spans="1:6" x14ac:dyDescent="0.15">
      <c r="A32" s="37"/>
      <c r="B32" s="38"/>
      <c r="C32" s="35"/>
      <c r="D32" s="35"/>
      <c r="E32" s="35"/>
      <c r="F32" s="35"/>
    </row>
    <row r="33" spans="1:6" x14ac:dyDescent="0.15">
      <c r="A33" s="37"/>
      <c r="B33" s="38"/>
      <c r="C33" s="35"/>
      <c r="D33" s="35"/>
      <c r="E33" s="35"/>
      <c r="F33" s="35"/>
    </row>
    <row r="34" spans="1:6" x14ac:dyDescent="0.15">
      <c r="A34" s="37"/>
      <c r="B34" s="38"/>
      <c r="C34" s="35"/>
      <c r="D34" s="35"/>
      <c r="E34" s="35"/>
      <c r="F34" s="35"/>
    </row>
    <row r="35" spans="1:6" x14ac:dyDescent="0.15">
      <c r="A35" s="37"/>
      <c r="B35" s="38"/>
      <c r="C35" s="35"/>
      <c r="D35" s="35"/>
      <c r="E35" s="35"/>
      <c r="F35" s="35"/>
    </row>
    <row r="36" spans="1:6" x14ac:dyDescent="0.15">
      <c r="A36" s="37"/>
      <c r="B36" s="38"/>
      <c r="C36" s="35"/>
      <c r="D36" s="35"/>
      <c r="E36" s="35"/>
      <c r="F36" s="35"/>
    </row>
  </sheetData>
  <mergeCells count="2">
    <mergeCell ref="E4:F4"/>
    <mergeCell ref="E15:F15"/>
  </mergeCells>
  <phoneticPr fontId="2"/>
  <printOptions horizontalCentered="1"/>
  <pageMargins left="0.70866141732283472" right="0.70866141732283472" top="0.74803149606299213" bottom="0.74803149606299213" header="0.70866141732283472" footer="0.31496062992125984"/>
  <pageSetup paperSize="11" scale="8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Button 1">
              <controlPr defaultSize="0" print="0" autoFill="0" autoPict="0" macro="[0]!データ削除_状態像区分_65歳以上">
                <anchor moveWithCells="1" sizeWithCells="1">
                  <from>
                    <xdr:col>6</xdr:col>
                    <xdr:colOff>371475</xdr:colOff>
                    <xdr:row>2</xdr:row>
                    <xdr:rowOff>228600</xdr:rowOff>
                  </from>
                  <to>
                    <xdr:col>8</xdr:col>
                    <xdr:colOff>47625</xdr:colOff>
                    <xdr:row>5</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rgb="FFFFC000"/>
    <pageSetUpPr fitToPage="1"/>
  </sheetPr>
  <dimension ref="A1:L76"/>
  <sheetViews>
    <sheetView showGridLines="0" view="pageBreakPreview" zoomScale="80" zoomScaleNormal="110" zoomScaleSheetLayoutView="80" workbookViewId="0">
      <selection activeCell="G30" sqref="G30"/>
    </sheetView>
  </sheetViews>
  <sheetFormatPr defaultRowHeight="18.75" x14ac:dyDescent="0.15"/>
  <cols>
    <col min="1" max="1" width="37.5" style="1" customWidth="1"/>
    <col min="2" max="5" width="9.375" style="1" customWidth="1"/>
    <col min="6" max="6" width="9" style="1"/>
    <col min="7" max="7" width="37.5" style="1" customWidth="1"/>
    <col min="8" max="11" width="9.375" style="1" customWidth="1"/>
    <col min="12" max="15" width="9" style="1" customWidth="1"/>
    <col min="16" max="16384" width="9" style="1"/>
  </cols>
  <sheetData>
    <row r="1" spans="1:12" ht="19.5" x14ac:dyDescent="0.15">
      <c r="A1" s="2" t="s">
        <v>237</v>
      </c>
    </row>
    <row r="2" spans="1:12" x14ac:dyDescent="0.15">
      <c r="A2" s="4" t="s">
        <v>13</v>
      </c>
      <c r="G2" s="4" t="s">
        <v>113</v>
      </c>
    </row>
    <row r="3" spans="1:12" x14ac:dyDescent="0.35">
      <c r="A3" s="85"/>
      <c r="B3" s="85"/>
      <c r="C3" s="23"/>
      <c r="D3" s="900" t="s">
        <v>105</v>
      </c>
      <c r="E3" s="900"/>
      <c r="G3" s="85"/>
      <c r="H3" s="85"/>
      <c r="I3" s="23"/>
      <c r="J3" s="900" t="s">
        <v>105</v>
      </c>
      <c r="K3" s="900"/>
    </row>
    <row r="4" spans="1:12" x14ac:dyDescent="0.15">
      <c r="A4" s="345"/>
      <c r="B4" s="353" t="s">
        <v>0</v>
      </c>
      <c r="C4" s="354" t="s">
        <v>1</v>
      </c>
      <c r="D4" s="355" t="s">
        <v>0</v>
      </c>
      <c r="E4" s="356" t="s">
        <v>1</v>
      </c>
      <c r="G4" s="345"/>
      <c r="H4" s="353" t="s">
        <v>0</v>
      </c>
      <c r="I4" s="354" t="s">
        <v>1</v>
      </c>
      <c r="J4" s="355" t="s">
        <v>0</v>
      </c>
      <c r="K4" s="356" t="s">
        <v>1</v>
      </c>
      <c r="L4" s="21"/>
    </row>
    <row r="5" spans="1:12" ht="30" x14ac:dyDescent="0.15">
      <c r="A5" s="283" t="s">
        <v>231</v>
      </c>
      <c r="B5" s="284">
        <v>1323</v>
      </c>
      <c r="C5" s="344">
        <f>IFERROR(B5/B$8,"-")</f>
        <v>0.1460748592249089</v>
      </c>
      <c r="D5" s="285">
        <f>'２-Ⅵ'!B5</f>
        <v>2075</v>
      </c>
      <c r="E5" s="344">
        <f>IFERROR(D5/D$8,"-")</f>
        <v>0.13840715048025615</v>
      </c>
      <c r="G5" s="283" t="s">
        <v>231</v>
      </c>
      <c r="H5" s="284">
        <v>365</v>
      </c>
      <c r="I5" s="344">
        <f>IFERROR(H5/H$8,"-")</f>
        <v>0.43764988009592326</v>
      </c>
      <c r="J5" s="285">
        <f>'２-Ⅵ'!H5</f>
        <v>623</v>
      </c>
      <c r="K5" s="344">
        <f>IFERROR(J5/J$8,"-")</f>
        <v>0.37598068799034401</v>
      </c>
    </row>
    <row r="6" spans="1:12" x14ac:dyDescent="0.15">
      <c r="A6" s="286" t="s">
        <v>232</v>
      </c>
      <c r="B6" s="284">
        <v>6993</v>
      </c>
      <c r="C6" s="344">
        <f t="shared" ref="C6:C7" si="0">IFERROR(B6/B$8,"-")</f>
        <v>0.77210997018880423</v>
      </c>
      <c r="D6" s="287">
        <f>'２-Ⅵ'!B6</f>
        <v>11296</v>
      </c>
      <c r="E6" s="344">
        <f t="shared" ref="E6:E7" si="1">IFERROR(D6/D$8,"-")</f>
        <v>0.75346851654215585</v>
      </c>
      <c r="G6" s="286" t="s">
        <v>232</v>
      </c>
      <c r="H6" s="284">
        <v>154</v>
      </c>
      <c r="I6" s="344">
        <f t="shared" ref="I6:I7" si="2">IFERROR(H6/H$8,"-")</f>
        <v>0.18465227817745802</v>
      </c>
      <c r="J6" s="287">
        <f>'２-Ⅵ'!H6</f>
        <v>297</v>
      </c>
      <c r="K6" s="344">
        <f t="shared" ref="K6:K7" si="3">IFERROR(J6/J$8,"-")</f>
        <v>0.1792395896197948</v>
      </c>
    </row>
    <row r="7" spans="1:12" x14ac:dyDescent="0.15">
      <c r="A7" s="286" t="s">
        <v>233</v>
      </c>
      <c r="B7" s="284">
        <v>741</v>
      </c>
      <c r="C7" s="344">
        <f t="shared" si="0"/>
        <v>8.1815170586286845E-2</v>
      </c>
      <c r="D7" s="287">
        <f>'２-Ⅵ'!B7</f>
        <v>1621</v>
      </c>
      <c r="E7" s="344">
        <f t="shared" si="1"/>
        <v>0.10812433297758804</v>
      </c>
      <c r="G7" s="286" t="s">
        <v>233</v>
      </c>
      <c r="H7" s="284">
        <v>315</v>
      </c>
      <c r="I7" s="344">
        <f t="shared" si="2"/>
        <v>0.37769784172661869</v>
      </c>
      <c r="J7" s="287">
        <f>'２-Ⅵ'!H7</f>
        <v>737</v>
      </c>
      <c r="K7" s="344">
        <f t="shared" si="3"/>
        <v>0.44477972238986119</v>
      </c>
    </row>
    <row r="8" spans="1:12" x14ac:dyDescent="0.15">
      <c r="A8" s="357" t="s">
        <v>160</v>
      </c>
      <c r="B8" s="358">
        <f>SUM(B5:B7)</f>
        <v>9057</v>
      </c>
      <c r="C8" s="359">
        <f>SUM(C5:C7)</f>
        <v>1</v>
      </c>
      <c r="D8" s="360">
        <f>SUM(D5:D7)</f>
        <v>14992</v>
      </c>
      <c r="E8" s="359">
        <f>SUM(E5:E7)</f>
        <v>1</v>
      </c>
      <c r="G8" s="357" t="s">
        <v>160</v>
      </c>
      <c r="H8" s="358">
        <f>SUM(H5:H7)</f>
        <v>834</v>
      </c>
      <c r="I8" s="359">
        <f>SUM(I5:I7)</f>
        <v>1</v>
      </c>
      <c r="J8" s="360">
        <f>SUM(J5:J7)</f>
        <v>1657</v>
      </c>
      <c r="K8" s="359">
        <f>SUM(K5:K7)</f>
        <v>1</v>
      </c>
    </row>
    <row r="9" spans="1:12" s="136" customFormat="1" x14ac:dyDescent="0.15">
      <c r="A9" s="133"/>
      <c r="B9" s="134"/>
      <c r="C9" s="135"/>
      <c r="D9" s="134"/>
      <c r="E9" s="135"/>
      <c r="G9" s="133"/>
      <c r="H9" s="134"/>
      <c r="I9" s="135"/>
      <c r="J9" s="134"/>
      <c r="K9" s="135"/>
    </row>
    <row r="10" spans="1:12" x14ac:dyDescent="0.15">
      <c r="A10" s="4" t="s">
        <v>13</v>
      </c>
      <c r="G10" s="4" t="s">
        <v>113</v>
      </c>
    </row>
    <row r="11" spans="1:12" x14ac:dyDescent="0.35">
      <c r="A11" s="85"/>
      <c r="B11" s="85"/>
      <c r="C11" s="23"/>
      <c r="D11" s="900" t="s">
        <v>105</v>
      </c>
      <c r="E11" s="900"/>
      <c r="G11" s="85"/>
      <c r="H11" s="85"/>
      <c r="I11" s="23"/>
      <c r="J11" s="900" t="s">
        <v>105</v>
      </c>
      <c r="K11" s="900"/>
    </row>
    <row r="12" spans="1:12" x14ac:dyDescent="0.15">
      <c r="A12" s="345"/>
      <c r="B12" s="353" t="s">
        <v>0</v>
      </c>
      <c r="C12" s="354" t="s">
        <v>1</v>
      </c>
      <c r="D12" s="355" t="s">
        <v>0</v>
      </c>
      <c r="E12" s="356" t="s">
        <v>1</v>
      </c>
      <c r="G12" s="345"/>
      <c r="H12" s="362" t="s">
        <v>0</v>
      </c>
      <c r="I12" s="363" t="s">
        <v>1</v>
      </c>
      <c r="J12" s="353" t="s">
        <v>0</v>
      </c>
      <c r="K12" s="356" t="s">
        <v>1</v>
      </c>
      <c r="L12" s="21"/>
    </row>
    <row r="13" spans="1:12" x14ac:dyDescent="0.15">
      <c r="A13" s="286" t="s">
        <v>110</v>
      </c>
      <c r="B13" s="284">
        <v>1206</v>
      </c>
      <c r="C13" s="344">
        <f>IFERROR(B13/B$15,"-")</f>
        <v>0.91156462585034015</v>
      </c>
      <c r="D13" s="285">
        <f>'２-Ⅵ'!B14</f>
        <v>1829</v>
      </c>
      <c r="E13" s="344">
        <f>IFERROR(D13/D$15,"-")</f>
        <v>0.88144578313253008</v>
      </c>
      <c r="G13" s="286" t="s">
        <v>110</v>
      </c>
      <c r="H13" s="284">
        <v>304</v>
      </c>
      <c r="I13" s="468">
        <f>IFERROR(H13/H$15,"-")</f>
        <v>0.83287671232876714</v>
      </c>
      <c r="J13" s="284">
        <f>'２-Ⅵ'!H14</f>
        <v>488</v>
      </c>
      <c r="K13" s="344">
        <f>IFERROR(J13/J$15,"-")</f>
        <v>0.78330658105938999</v>
      </c>
    </row>
    <row r="14" spans="1:12" x14ac:dyDescent="0.15">
      <c r="A14" s="286" t="s">
        <v>111</v>
      </c>
      <c r="B14" s="284">
        <v>117</v>
      </c>
      <c r="C14" s="344">
        <f>IFERROR(B14/B$15,"-")</f>
        <v>8.8435374149659865E-2</v>
      </c>
      <c r="D14" s="287">
        <f>'２-Ⅵ'!B15</f>
        <v>246</v>
      </c>
      <c r="E14" s="344">
        <f>IFERROR(D14/D$15,"-")</f>
        <v>0.11855421686746988</v>
      </c>
      <c r="G14" s="286" t="s">
        <v>111</v>
      </c>
      <c r="H14" s="288">
        <v>61</v>
      </c>
      <c r="I14" s="468">
        <f>IFERROR(H14/H$15,"-")</f>
        <v>0.16712328767123288</v>
      </c>
      <c r="J14" s="288">
        <f>'２-Ⅵ'!H15</f>
        <v>135</v>
      </c>
      <c r="K14" s="344">
        <f>IFERROR(J14/J$15,"-")</f>
        <v>0.21669341894060995</v>
      </c>
    </row>
    <row r="15" spans="1:12" x14ac:dyDescent="0.15">
      <c r="A15" s="357" t="s">
        <v>160</v>
      </c>
      <c r="B15" s="358">
        <f>SUM(B13:B14)</f>
        <v>1323</v>
      </c>
      <c r="C15" s="359">
        <f>SUM(C13:C14)</f>
        <v>1</v>
      </c>
      <c r="D15" s="361">
        <f>SUM(D13:D14)</f>
        <v>2075</v>
      </c>
      <c r="E15" s="359">
        <f>SUM(E13:E14)</f>
        <v>1</v>
      </c>
      <c r="G15" s="357" t="s">
        <v>160</v>
      </c>
      <c r="H15" s="358">
        <f>SUM(H13:H14)</f>
        <v>365</v>
      </c>
      <c r="I15" s="364">
        <f>SUM(I13:I14)</f>
        <v>1</v>
      </c>
      <c r="J15" s="358">
        <f>SUM(J13:J14)</f>
        <v>623</v>
      </c>
      <c r="K15" s="347">
        <f>SUM(K13:K14)</f>
        <v>1</v>
      </c>
    </row>
    <row r="17" spans="1:12" ht="24.75" customHeight="1" x14ac:dyDescent="0.15">
      <c r="A17" s="2" t="s">
        <v>55</v>
      </c>
      <c r="G17" s="2"/>
    </row>
    <row r="18" spans="1:12" s="21" customFormat="1" x14ac:dyDescent="0.15">
      <c r="A18" s="912" t="s">
        <v>273</v>
      </c>
      <c r="B18" s="912"/>
      <c r="C18" s="912"/>
      <c r="D18" s="912"/>
      <c r="E18" s="912"/>
      <c r="G18" s="912" t="s">
        <v>273</v>
      </c>
      <c r="H18" s="912"/>
      <c r="I18" s="912"/>
      <c r="J18" s="912"/>
      <c r="K18" s="912"/>
    </row>
    <row r="19" spans="1:12" s="21" customFormat="1" x14ac:dyDescent="0.35">
      <c r="A19" s="85"/>
      <c r="B19" s="85"/>
      <c r="C19" s="23"/>
      <c r="D19" s="911" t="s">
        <v>105</v>
      </c>
      <c r="E19" s="911"/>
      <c r="G19" s="85"/>
      <c r="H19" s="85"/>
      <c r="I19" s="23"/>
      <c r="J19" s="911" t="s">
        <v>105</v>
      </c>
      <c r="K19" s="911"/>
    </row>
    <row r="20" spans="1:12" ht="18" customHeight="1" x14ac:dyDescent="0.15">
      <c r="A20" s="345"/>
      <c r="B20" s="353" t="s">
        <v>0</v>
      </c>
      <c r="C20" s="354" t="s">
        <v>1</v>
      </c>
      <c r="D20" s="355" t="s">
        <v>0</v>
      </c>
      <c r="E20" s="356" t="s">
        <v>1</v>
      </c>
      <c r="G20" s="345"/>
      <c r="H20" s="362" t="s">
        <v>0</v>
      </c>
      <c r="I20" s="363" t="s">
        <v>1</v>
      </c>
      <c r="J20" s="353" t="s">
        <v>0</v>
      </c>
      <c r="K20" s="356" t="s">
        <v>1</v>
      </c>
      <c r="L20" s="21"/>
    </row>
    <row r="21" spans="1:12" ht="28.5" customHeight="1" x14ac:dyDescent="0.15">
      <c r="A21" s="289" t="s">
        <v>243</v>
      </c>
      <c r="B21" s="288">
        <v>380</v>
      </c>
      <c r="C21" s="465">
        <f>IFERROR(B21/B$13,"-")</f>
        <v>0.31509121061359868</v>
      </c>
      <c r="D21" s="290">
        <f>'２-Ⅵ'!B23</f>
        <v>670</v>
      </c>
      <c r="E21" s="343">
        <f>IFERROR(D21/D$13,"-")</f>
        <v>0.36632039365773644</v>
      </c>
      <c r="G21" s="289" t="s">
        <v>238</v>
      </c>
      <c r="H21" s="288">
        <v>60</v>
      </c>
      <c r="I21" s="469">
        <f>IFERROR(H21/H$13,"-")</f>
        <v>0.19736842105263158</v>
      </c>
      <c r="J21" s="288">
        <f>'２-Ⅵ'!H23</f>
        <v>131</v>
      </c>
      <c r="K21" s="343">
        <f>IFERROR(J21/J$13,"-")</f>
        <v>0.26844262295081966</v>
      </c>
    </row>
    <row r="22" spans="1:12" x14ac:dyDescent="0.15">
      <c r="A22" s="291" t="s">
        <v>224</v>
      </c>
      <c r="B22" s="288">
        <v>355</v>
      </c>
      <c r="C22" s="343">
        <f t="shared" ref="C22:C40" si="4">IFERROR(B22/B$13,"-")</f>
        <v>0.29436152570480928</v>
      </c>
      <c r="D22" s="290">
        <f>'２-Ⅵ'!B24</f>
        <v>570</v>
      </c>
      <c r="E22" s="343">
        <f t="shared" ref="E22:E37" si="5">IFERROR(D22/D$13,"-")</f>
        <v>0.31164570803717878</v>
      </c>
      <c r="G22" s="291" t="s">
        <v>224</v>
      </c>
      <c r="H22" s="292">
        <v>58</v>
      </c>
      <c r="I22" s="470">
        <f t="shared" ref="I22:I40" si="6">IFERROR(H22/H$13,"-")</f>
        <v>0.19078947368421054</v>
      </c>
      <c r="J22" s="292">
        <f>'２-Ⅵ'!H24</f>
        <v>103</v>
      </c>
      <c r="K22" s="465">
        <f t="shared" ref="K22:K37" si="7">IFERROR(J22/J$13,"-")</f>
        <v>0.21106557377049182</v>
      </c>
    </row>
    <row r="23" spans="1:12" x14ac:dyDescent="0.15">
      <c r="A23" s="291" t="s">
        <v>38</v>
      </c>
      <c r="B23" s="288">
        <v>35</v>
      </c>
      <c r="C23" s="465">
        <f t="shared" si="4"/>
        <v>2.9021558872305141E-2</v>
      </c>
      <c r="D23" s="290">
        <f>'２-Ⅵ'!B25</f>
        <v>91</v>
      </c>
      <c r="E23" s="343">
        <f t="shared" si="5"/>
        <v>4.9753963914707489E-2</v>
      </c>
      <c r="G23" s="291" t="s">
        <v>38</v>
      </c>
      <c r="H23" s="292">
        <v>9</v>
      </c>
      <c r="I23" s="470">
        <f t="shared" si="6"/>
        <v>2.9605263157894735E-2</v>
      </c>
      <c r="J23" s="292">
        <f>'２-Ⅵ'!H25</f>
        <v>21</v>
      </c>
      <c r="K23" s="465">
        <f t="shared" si="7"/>
        <v>4.3032786885245901E-2</v>
      </c>
    </row>
    <row r="24" spans="1:12" x14ac:dyDescent="0.15">
      <c r="A24" s="291" t="s">
        <v>39</v>
      </c>
      <c r="B24" s="288">
        <v>475</v>
      </c>
      <c r="C24" s="465">
        <f t="shared" si="4"/>
        <v>0.39386401326699833</v>
      </c>
      <c r="D24" s="290">
        <f>'２-Ⅵ'!B26</f>
        <v>677</v>
      </c>
      <c r="E24" s="343">
        <f t="shared" si="5"/>
        <v>0.37014762165117548</v>
      </c>
      <c r="G24" s="291" t="s">
        <v>39</v>
      </c>
      <c r="H24" s="292">
        <v>125</v>
      </c>
      <c r="I24" s="470">
        <f t="shared" si="6"/>
        <v>0.41118421052631576</v>
      </c>
      <c r="J24" s="292">
        <f>'２-Ⅵ'!H26</f>
        <v>180</v>
      </c>
      <c r="K24" s="465">
        <f t="shared" si="7"/>
        <v>0.36885245901639346</v>
      </c>
    </row>
    <row r="25" spans="1:12" x14ac:dyDescent="0.15">
      <c r="A25" s="291" t="s">
        <v>40</v>
      </c>
      <c r="B25" s="288">
        <v>533</v>
      </c>
      <c r="C25" s="465">
        <f t="shared" si="4"/>
        <v>0.4419568822553897</v>
      </c>
      <c r="D25" s="290">
        <f>'２-Ⅵ'!B27</f>
        <v>806</v>
      </c>
      <c r="E25" s="343">
        <f t="shared" si="5"/>
        <v>0.44067796610169491</v>
      </c>
      <c r="G25" s="291" t="s">
        <v>40</v>
      </c>
      <c r="H25" s="292">
        <v>93</v>
      </c>
      <c r="I25" s="470">
        <f t="shared" si="6"/>
        <v>0.30592105263157893</v>
      </c>
      <c r="J25" s="292">
        <f>'２-Ⅵ'!H27</f>
        <v>150</v>
      </c>
      <c r="K25" s="465">
        <f t="shared" si="7"/>
        <v>0.30737704918032788</v>
      </c>
    </row>
    <row r="26" spans="1:12" x14ac:dyDescent="0.15">
      <c r="A26" s="291" t="s">
        <v>41</v>
      </c>
      <c r="B26" s="288">
        <v>305</v>
      </c>
      <c r="C26" s="465">
        <f t="shared" si="4"/>
        <v>0.25290215588723053</v>
      </c>
      <c r="D26" s="290">
        <f>'２-Ⅵ'!B28</f>
        <v>509</v>
      </c>
      <c r="E26" s="343">
        <f t="shared" si="5"/>
        <v>0.27829414980863859</v>
      </c>
      <c r="G26" s="291" t="s">
        <v>41</v>
      </c>
      <c r="H26" s="292">
        <v>76</v>
      </c>
      <c r="I26" s="470">
        <f t="shared" si="6"/>
        <v>0.25</v>
      </c>
      <c r="J26" s="292">
        <f>'２-Ⅵ'!H28</f>
        <v>129</v>
      </c>
      <c r="K26" s="465">
        <f t="shared" si="7"/>
        <v>0.26434426229508196</v>
      </c>
    </row>
    <row r="27" spans="1:12" x14ac:dyDescent="0.15">
      <c r="A27" s="291" t="s">
        <v>42</v>
      </c>
      <c r="B27" s="288">
        <v>81</v>
      </c>
      <c r="C27" s="465">
        <f t="shared" si="4"/>
        <v>6.7164179104477612E-2</v>
      </c>
      <c r="D27" s="290">
        <f>'２-Ⅵ'!B29</f>
        <v>164</v>
      </c>
      <c r="E27" s="343">
        <f t="shared" si="5"/>
        <v>8.9666484417714604E-2</v>
      </c>
      <c r="G27" s="291" t="s">
        <v>42</v>
      </c>
      <c r="H27" s="292">
        <v>18</v>
      </c>
      <c r="I27" s="470">
        <f t="shared" si="6"/>
        <v>5.921052631578947E-2</v>
      </c>
      <c r="J27" s="292">
        <f>'２-Ⅵ'!H29</f>
        <v>38</v>
      </c>
      <c r="K27" s="465">
        <f t="shared" si="7"/>
        <v>7.7868852459016397E-2</v>
      </c>
    </row>
    <row r="28" spans="1:12" x14ac:dyDescent="0.15">
      <c r="A28" s="291" t="s">
        <v>43</v>
      </c>
      <c r="B28" s="288">
        <v>442</v>
      </c>
      <c r="C28" s="465">
        <f t="shared" si="4"/>
        <v>0.36650082918739635</v>
      </c>
      <c r="D28" s="290">
        <f>'２-Ⅵ'!B30</f>
        <v>644</v>
      </c>
      <c r="E28" s="343">
        <f t="shared" si="5"/>
        <v>0.35210497539639146</v>
      </c>
      <c r="G28" s="291" t="s">
        <v>43</v>
      </c>
      <c r="H28" s="292">
        <v>90</v>
      </c>
      <c r="I28" s="470">
        <f t="shared" si="6"/>
        <v>0.29605263157894735</v>
      </c>
      <c r="J28" s="292">
        <f>'２-Ⅵ'!H30</f>
        <v>128</v>
      </c>
      <c r="K28" s="465">
        <f t="shared" si="7"/>
        <v>0.26229508196721313</v>
      </c>
    </row>
    <row r="29" spans="1:12" x14ac:dyDescent="0.15">
      <c r="A29" s="291" t="s">
        <v>44</v>
      </c>
      <c r="B29" s="288">
        <v>194</v>
      </c>
      <c r="C29" s="465">
        <f t="shared" si="4"/>
        <v>0.16086235489220563</v>
      </c>
      <c r="D29" s="290">
        <f>'２-Ⅵ'!B31</f>
        <v>295</v>
      </c>
      <c r="E29" s="343">
        <f t="shared" si="5"/>
        <v>0.16129032258064516</v>
      </c>
      <c r="G29" s="291" t="s">
        <v>44</v>
      </c>
      <c r="H29" s="292">
        <v>48</v>
      </c>
      <c r="I29" s="470">
        <f t="shared" si="6"/>
        <v>0.15789473684210525</v>
      </c>
      <c r="J29" s="292">
        <f>'２-Ⅵ'!H31</f>
        <v>71</v>
      </c>
      <c r="K29" s="465">
        <f t="shared" si="7"/>
        <v>0.14549180327868852</v>
      </c>
    </row>
    <row r="30" spans="1:12" x14ac:dyDescent="0.15">
      <c r="A30" s="291" t="s">
        <v>248</v>
      </c>
      <c r="B30" s="288">
        <v>222</v>
      </c>
      <c r="C30" s="465">
        <f t="shared" si="4"/>
        <v>0.18407960199004975</v>
      </c>
      <c r="D30" s="290">
        <f>'２-Ⅵ'!B32</f>
        <v>342</v>
      </c>
      <c r="E30" s="343">
        <f t="shared" si="5"/>
        <v>0.18698742482230726</v>
      </c>
      <c r="G30" s="291" t="s">
        <v>248</v>
      </c>
      <c r="H30" s="292">
        <v>76</v>
      </c>
      <c r="I30" s="470">
        <f t="shared" si="6"/>
        <v>0.25</v>
      </c>
      <c r="J30" s="292">
        <f>'２-Ⅵ'!H32</f>
        <v>118</v>
      </c>
      <c r="K30" s="465">
        <f t="shared" si="7"/>
        <v>0.24180327868852458</v>
      </c>
    </row>
    <row r="31" spans="1:12" x14ac:dyDescent="0.15">
      <c r="A31" s="291" t="s">
        <v>46</v>
      </c>
      <c r="B31" s="288">
        <v>403</v>
      </c>
      <c r="C31" s="343">
        <f t="shared" si="4"/>
        <v>0.33416252072968489</v>
      </c>
      <c r="D31" s="290">
        <f>'２-Ⅵ'!B33</f>
        <v>605</v>
      </c>
      <c r="E31" s="343">
        <f t="shared" si="5"/>
        <v>0.33078184800437399</v>
      </c>
      <c r="G31" s="291" t="s">
        <v>46</v>
      </c>
      <c r="H31" s="292">
        <v>92</v>
      </c>
      <c r="I31" s="470">
        <f t="shared" si="6"/>
        <v>0.30263157894736842</v>
      </c>
      <c r="J31" s="292">
        <f>'２-Ⅵ'!H33</f>
        <v>146</v>
      </c>
      <c r="K31" s="465">
        <f t="shared" si="7"/>
        <v>0.29918032786885246</v>
      </c>
    </row>
    <row r="32" spans="1:12" x14ac:dyDescent="0.15">
      <c r="A32" s="291" t="s">
        <v>47</v>
      </c>
      <c r="B32" s="288">
        <v>89</v>
      </c>
      <c r="C32" s="465">
        <f t="shared" si="4"/>
        <v>7.3797678275290213E-2</v>
      </c>
      <c r="D32" s="290">
        <f>'２-Ⅵ'!B34</f>
        <v>121</v>
      </c>
      <c r="E32" s="343">
        <f t="shared" si="5"/>
        <v>6.6156369600874801E-2</v>
      </c>
      <c r="G32" s="291" t="s">
        <v>47</v>
      </c>
      <c r="H32" s="292">
        <v>16</v>
      </c>
      <c r="I32" s="470">
        <f t="shared" si="6"/>
        <v>5.2631578947368418E-2</v>
      </c>
      <c r="J32" s="292">
        <f>'２-Ⅵ'!H34</f>
        <v>25</v>
      </c>
      <c r="K32" s="465">
        <f t="shared" si="7"/>
        <v>5.1229508196721313E-2</v>
      </c>
    </row>
    <row r="33" spans="1:11" x14ac:dyDescent="0.15">
      <c r="A33" s="291" t="s">
        <v>48</v>
      </c>
      <c r="B33" s="288">
        <v>39</v>
      </c>
      <c r="C33" s="465">
        <f t="shared" si="4"/>
        <v>3.2338308457711441E-2</v>
      </c>
      <c r="D33" s="290">
        <f>'２-Ⅵ'!B35</f>
        <v>70</v>
      </c>
      <c r="E33" s="343">
        <f t="shared" si="5"/>
        <v>3.8272279934390377E-2</v>
      </c>
      <c r="G33" s="291" t="s">
        <v>48</v>
      </c>
      <c r="H33" s="292">
        <v>12</v>
      </c>
      <c r="I33" s="470">
        <f t="shared" si="6"/>
        <v>3.9473684210526314E-2</v>
      </c>
      <c r="J33" s="292">
        <f>'２-Ⅵ'!H35</f>
        <v>23</v>
      </c>
      <c r="K33" s="465">
        <f t="shared" si="7"/>
        <v>4.7131147540983603E-2</v>
      </c>
    </row>
    <row r="34" spans="1:11" x14ac:dyDescent="0.15">
      <c r="A34" s="291" t="s">
        <v>49</v>
      </c>
      <c r="B34" s="288">
        <v>2</v>
      </c>
      <c r="C34" s="465">
        <f t="shared" si="4"/>
        <v>1.658374792703151E-3</v>
      </c>
      <c r="D34" s="290">
        <f>'２-Ⅵ'!B36</f>
        <v>6</v>
      </c>
      <c r="E34" s="343">
        <f t="shared" si="5"/>
        <v>3.2804811372334607E-3</v>
      </c>
      <c r="G34" s="291" t="s">
        <v>49</v>
      </c>
      <c r="H34" s="292">
        <v>0</v>
      </c>
      <c r="I34" s="470">
        <f t="shared" si="6"/>
        <v>0</v>
      </c>
      <c r="J34" s="292">
        <f>'２-Ⅵ'!H36</f>
        <v>1</v>
      </c>
      <c r="K34" s="465">
        <f t="shared" si="7"/>
        <v>2.0491803278688526E-3</v>
      </c>
    </row>
    <row r="35" spans="1:11" x14ac:dyDescent="0.15">
      <c r="A35" s="291" t="s">
        <v>50</v>
      </c>
      <c r="B35" s="288">
        <v>91</v>
      </c>
      <c r="C35" s="465">
        <f t="shared" si="4"/>
        <v>7.545605306799337E-2</v>
      </c>
      <c r="D35" s="290">
        <f>'２-Ⅵ'!B37</f>
        <v>149</v>
      </c>
      <c r="E35" s="343">
        <f t="shared" si="5"/>
        <v>8.1465281574630941E-2</v>
      </c>
      <c r="G35" s="291" t="s">
        <v>50</v>
      </c>
      <c r="H35" s="292">
        <v>26</v>
      </c>
      <c r="I35" s="470">
        <f t="shared" si="6"/>
        <v>8.5526315789473686E-2</v>
      </c>
      <c r="J35" s="292">
        <f>'２-Ⅵ'!H37</f>
        <v>41</v>
      </c>
      <c r="K35" s="465">
        <f t="shared" si="7"/>
        <v>8.4016393442622947E-2</v>
      </c>
    </row>
    <row r="36" spans="1:11" x14ac:dyDescent="0.15">
      <c r="A36" s="291" t="s">
        <v>51</v>
      </c>
      <c r="B36" s="288">
        <v>81</v>
      </c>
      <c r="C36" s="465">
        <f t="shared" si="4"/>
        <v>6.7164179104477612E-2</v>
      </c>
      <c r="D36" s="290">
        <f>'２-Ⅵ'!B38</f>
        <v>131</v>
      </c>
      <c r="E36" s="343">
        <f t="shared" si="5"/>
        <v>7.1623838162930567E-2</v>
      </c>
      <c r="G36" s="291" t="s">
        <v>51</v>
      </c>
      <c r="H36" s="292">
        <v>25</v>
      </c>
      <c r="I36" s="470">
        <f t="shared" si="6"/>
        <v>8.2236842105263164E-2</v>
      </c>
      <c r="J36" s="292">
        <f>'２-Ⅵ'!H38</f>
        <v>43</v>
      </c>
      <c r="K36" s="465">
        <f t="shared" si="7"/>
        <v>8.8114754098360656E-2</v>
      </c>
    </row>
    <row r="37" spans="1:11" x14ac:dyDescent="0.15">
      <c r="A37" s="291" t="s">
        <v>247</v>
      </c>
      <c r="B37" s="288">
        <v>18</v>
      </c>
      <c r="C37" s="465">
        <f t="shared" si="4"/>
        <v>1.4925373134328358E-2</v>
      </c>
      <c r="D37" s="290">
        <f>'２-Ⅵ'!B39</f>
        <v>28</v>
      </c>
      <c r="E37" s="343">
        <f t="shared" si="5"/>
        <v>1.530891197375615E-2</v>
      </c>
      <c r="G37" s="291" t="s">
        <v>247</v>
      </c>
      <c r="H37" s="292">
        <v>4</v>
      </c>
      <c r="I37" s="470">
        <f t="shared" si="6"/>
        <v>1.3157894736842105E-2</v>
      </c>
      <c r="J37" s="292">
        <f>'２-Ⅵ'!H39</f>
        <v>10</v>
      </c>
      <c r="K37" s="465">
        <f t="shared" si="7"/>
        <v>2.0491803278688523E-2</v>
      </c>
    </row>
    <row r="38" spans="1:11" s="537" customFormat="1" x14ac:dyDescent="0.15">
      <c r="A38" s="291" t="s">
        <v>381</v>
      </c>
      <c r="B38" s="288">
        <v>239</v>
      </c>
      <c r="C38" s="465">
        <f t="shared" si="4"/>
        <v>0.19817578772802655</v>
      </c>
      <c r="D38" s="290">
        <f>'２-Ⅵ'!B40</f>
        <v>295</v>
      </c>
      <c r="E38" s="343">
        <f t="shared" ref="E38:E40" si="8">IFERROR(D38/D$13,"-")</f>
        <v>0.16129032258064516</v>
      </c>
      <c r="G38" s="291" t="s">
        <v>381</v>
      </c>
      <c r="H38" s="292">
        <v>28</v>
      </c>
      <c r="I38" s="470">
        <f t="shared" si="6"/>
        <v>9.2105263157894732E-2</v>
      </c>
      <c r="J38" s="292">
        <f>'２-Ⅵ'!H40</f>
        <v>35</v>
      </c>
      <c r="K38" s="465">
        <f t="shared" ref="K38:K40" si="9">IFERROR(J38/J$13,"-")</f>
        <v>7.1721311475409832E-2</v>
      </c>
    </row>
    <row r="39" spans="1:11" s="537" customFormat="1" ht="30" x14ac:dyDescent="0.15">
      <c r="A39" s="289" t="s">
        <v>382</v>
      </c>
      <c r="B39" s="288">
        <v>141</v>
      </c>
      <c r="C39" s="465">
        <f t="shared" si="4"/>
        <v>0.11691542288557213</v>
      </c>
      <c r="D39" s="290">
        <f>'２-Ⅵ'!B41</f>
        <v>173</v>
      </c>
      <c r="E39" s="343">
        <f t="shared" si="8"/>
        <v>9.458720612356479E-2</v>
      </c>
      <c r="G39" s="289" t="s">
        <v>382</v>
      </c>
      <c r="H39" s="292">
        <v>17</v>
      </c>
      <c r="I39" s="470">
        <f t="shared" si="6"/>
        <v>5.5921052631578948E-2</v>
      </c>
      <c r="J39" s="292">
        <f>'２-Ⅵ'!H41</f>
        <v>23</v>
      </c>
      <c r="K39" s="465">
        <f t="shared" si="9"/>
        <v>4.7131147540983603E-2</v>
      </c>
    </row>
    <row r="40" spans="1:11" x14ac:dyDescent="0.15">
      <c r="A40" s="291" t="s">
        <v>53</v>
      </c>
      <c r="B40" s="288">
        <v>36</v>
      </c>
      <c r="C40" s="465">
        <f t="shared" si="4"/>
        <v>2.9850746268656716E-2</v>
      </c>
      <c r="D40" s="290">
        <f>'２-Ⅵ'!B42</f>
        <v>50</v>
      </c>
      <c r="E40" s="343">
        <f t="shared" si="8"/>
        <v>2.7337342810278841E-2</v>
      </c>
      <c r="G40" s="291" t="s">
        <v>53</v>
      </c>
      <c r="H40" s="292">
        <v>12</v>
      </c>
      <c r="I40" s="470">
        <f t="shared" si="6"/>
        <v>3.9473684210526314E-2</v>
      </c>
      <c r="J40" s="292">
        <f>'２-Ⅵ'!H42</f>
        <v>18</v>
      </c>
      <c r="K40" s="465">
        <f t="shared" si="9"/>
        <v>3.6885245901639344E-2</v>
      </c>
    </row>
    <row r="41" spans="1:11" x14ac:dyDescent="0.15">
      <c r="A41" s="137"/>
      <c r="B41" s="138"/>
      <c r="C41" s="20"/>
      <c r="D41" s="20"/>
      <c r="E41" s="20"/>
      <c r="G41" s="137"/>
      <c r="H41" s="138"/>
      <c r="I41" s="20"/>
      <c r="J41" s="138"/>
      <c r="K41" s="20"/>
    </row>
    <row r="42" spans="1:11" x14ac:dyDescent="0.15">
      <c r="A42" s="37"/>
      <c r="B42" s="37"/>
      <c r="C42" s="37"/>
      <c r="D42" s="37"/>
      <c r="E42" s="37"/>
      <c r="G42" s="37"/>
    </row>
    <row r="43" spans="1:11" hidden="1" x14ac:dyDescent="0.15">
      <c r="A43" s="491" t="s">
        <v>365</v>
      </c>
      <c r="B43" s="37"/>
      <c r="C43" s="37"/>
      <c r="D43" s="37"/>
      <c r="E43" s="37"/>
      <c r="G43" s="37"/>
    </row>
    <row r="44" spans="1:11" x14ac:dyDescent="0.15">
      <c r="A44" s="37"/>
      <c r="B44" s="37"/>
      <c r="C44" s="37"/>
      <c r="D44" s="37"/>
      <c r="E44" s="37"/>
      <c r="G44" s="37"/>
    </row>
    <row r="50" spans="1:10" x14ac:dyDescent="0.15">
      <c r="A50" s="139"/>
      <c r="B50" s="139"/>
      <c r="C50" s="139"/>
      <c r="D50" s="139"/>
      <c r="E50" s="139"/>
      <c r="G50" s="139"/>
      <c r="H50" s="139"/>
      <c r="J50" s="139"/>
    </row>
    <row r="51" spans="1:10" x14ac:dyDescent="0.15">
      <c r="A51" s="37"/>
      <c r="B51" s="22"/>
      <c r="C51" s="22"/>
      <c r="D51" s="22"/>
      <c r="E51" s="22"/>
      <c r="G51" s="37"/>
      <c r="H51" s="22"/>
      <c r="J51" s="22"/>
    </row>
    <row r="52" spans="1:10" x14ac:dyDescent="0.15">
      <c r="A52" s="37"/>
      <c r="B52" s="22"/>
      <c r="C52" s="22"/>
      <c r="D52" s="22"/>
      <c r="E52" s="22"/>
      <c r="G52" s="37"/>
      <c r="H52" s="22"/>
      <c r="J52" s="22"/>
    </row>
    <row r="53" spans="1:10" x14ac:dyDescent="0.15">
      <c r="A53" s="37"/>
      <c r="B53" s="22"/>
      <c r="C53" s="22"/>
      <c r="D53" s="22"/>
      <c r="E53" s="22"/>
      <c r="G53" s="37"/>
      <c r="H53" s="22"/>
      <c r="J53" s="22"/>
    </row>
    <row r="54" spans="1:10" x14ac:dyDescent="0.15">
      <c r="A54" s="37"/>
      <c r="B54" s="22"/>
      <c r="C54" s="22"/>
      <c r="D54" s="22"/>
      <c r="E54" s="22"/>
      <c r="G54" s="37"/>
      <c r="H54" s="22"/>
      <c r="J54" s="22"/>
    </row>
    <row r="55" spans="1:10" x14ac:dyDescent="0.15">
      <c r="A55" s="37"/>
      <c r="B55" s="22"/>
      <c r="C55" s="22"/>
      <c r="D55" s="22"/>
      <c r="E55" s="22"/>
      <c r="G55" s="37"/>
      <c r="H55" s="22"/>
      <c r="J55" s="22"/>
    </row>
    <row r="56" spans="1:10" x14ac:dyDescent="0.15">
      <c r="A56" s="37"/>
      <c r="B56" s="22"/>
      <c r="C56" s="22"/>
      <c r="D56" s="22"/>
      <c r="E56" s="22"/>
      <c r="G56" s="37"/>
      <c r="H56" s="22"/>
      <c r="J56" s="22"/>
    </row>
    <row r="57" spans="1:10" x14ac:dyDescent="0.15">
      <c r="A57" s="37"/>
      <c r="B57" s="22"/>
      <c r="C57" s="22"/>
      <c r="D57" s="22"/>
      <c r="E57" s="22"/>
      <c r="G57" s="37"/>
      <c r="H57" s="22"/>
      <c r="J57" s="22"/>
    </row>
    <row r="58" spans="1:10" x14ac:dyDescent="0.15">
      <c r="A58" s="37"/>
      <c r="B58" s="22"/>
      <c r="C58" s="22"/>
      <c r="D58" s="22"/>
      <c r="E58" s="22"/>
      <c r="G58" s="37"/>
      <c r="H58" s="22"/>
      <c r="J58" s="22"/>
    </row>
    <row r="59" spans="1:10" x14ac:dyDescent="0.15">
      <c r="A59" s="37"/>
      <c r="B59" s="22"/>
      <c r="C59" s="22"/>
      <c r="D59" s="22"/>
      <c r="E59" s="22"/>
      <c r="G59" s="37"/>
      <c r="H59" s="22"/>
      <c r="J59" s="22"/>
    </row>
    <row r="60" spans="1:10" x14ac:dyDescent="0.15">
      <c r="A60" s="37"/>
      <c r="B60" s="22"/>
      <c r="C60" s="22"/>
      <c r="D60" s="22"/>
      <c r="E60" s="22"/>
      <c r="G60" s="37"/>
      <c r="H60" s="22"/>
      <c r="J60" s="22"/>
    </row>
    <row r="61" spans="1:10" x14ac:dyDescent="0.15">
      <c r="A61" s="37"/>
      <c r="B61" s="22"/>
      <c r="C61" s="22"/>
      <c r="D61" s="22"/>
      <c r="E61" s="22"/>
      <c r="G61" s="37"/>
      <c r="H61" s="22"/>
      <c r="J61" s="22"/>
    </row>
    <row r="62" spans="1:10" x14ac:dyDescent="0.15">
      <c r="A62" s="37"/>
      <c r="B62" s="22"/>
      <c r="C62" s="22"/>
      <c r="D62" s="22"/>
      <c r="E62" s="22"/>
      <c r="G62" s="37"/>
      <c r="H62" s="22"/>
      <c r="J62" s="22"/>
    </row>
    <row r="63" spans="1:10" x14ac:dyDescent="0.15">
      <c r="A63" s="37"/>
      <c r="B63" s="22"/>
      <c r="C63" s="22"/>
      <c r="D63" s="22"/>
      <c r="E63" s="22"/>
      <c r="G63" s="37"/>
      <c r="H63" s="22"/>
      <c r="J63" s="22"/>
    </row>
    <row r="64" spans="1:10" x14ac:dyDescent="0.15">
      <c r="A64" s="37"/>
      <c r="B64" s="22"/>
      <c r="C64" s="22"/>
      <c r="D64" s="22"/>
      <c r="E64" s="22"/>
      <c r="G64" s="37"/>
      <c r="H64" s="22"/>
      <c r="J64" s="22"/>
    </row>
    <row r="65" spans="1:10" x14ac:dyDescent="0.15">
      <c r="A65" s="37"/>
      <c r="B65" s="22"/>
      <c r="C65" s="22"/>
      <c r="D65" s="22"/>
      <c r="E65" s="22"/>
      <c r="G65" s="37"/>
      <c r="H65" s="22"/>
      <c r="J65" s="22"/>
    </row>
    <row r="66" spans="1:10" x14ac:dyDescent="0.15">
      <c r="A66" s="37"/>
      <c r="B66" s="22"/>
      <c r="C66" s="22"/>
      <c r="D66" s="22"/>
      <c r="E66" s="22"/>
      <c r="G66" s="37"/>
      <c r="H66" s="22"/>
      <c r="J66" s="22"/>
    </row>
    <row r="67" spans="1:10" x14ac:dyDescent="0.15">
      <c r="A67" s="37"/>
      <c r="B67" s="22"/>
      <c r="C67" s="22"/>
      <c r="D67" s="22"/>
      <c r="E67" s="22"/>
      <c r="G67" s="37"/>
      <c r="H67" s="22"/>
      <c r="J67" s="22"/>
    </row>
    <row r="68" spans="1:10" x14ac:dyDescent="0.15">
      <c r="A68" s="7"/>
      <c r="B68" s="85"/>
      <c r="C68" s="85"/>
      <c r="D68" s="85"/>
      <c r="E68" s="85"/>
      <c r="G68" s="7"/>
      <c r="H68" s="22"/>
      <c r="J68" s="22"/>
    </row>
    <row r="69" spans="1:10" x14ac:dyDescent="0.15">
      <c r="A69" s="7"/>
      <c r="B69" s="85"/>
      <c r="C69" s="85"/>
      <c r="D69" s="85"/>
      <c r="E69" s="85"/>
      <c r="G69" s="7"/>
      <c r="H69" s="85"/>
      <c r="J69" s="85"/>
    </row>
    <row r="70" spans="1:10" x14ac:dyDescent="0.15">
      <c r="A70" s="7"/>
      <c r="B70" s="85"/>
      <c r="C70" s="85"/>
      <c r="D70" s="85"/>
      <c r="E70" s="85"/>
      <c r="G70" s="7"/>
      <c r="H70" s="85"/>
      <c r="J70" s="85"/>
    </row>
    <row r="71" spans="1:10" x14ac:dyDescent="0.15">
      <c r="A71" s="7"/>
      <c r="B71" s="85"/>
      <c r="C71" s="85"/>
      <c r="D71" s="85"/>
      <c r="E71" s="85"/>
      <c r="G71" s="7"/>
      <c r="H71" s="85"/>
      <c r="J71" s="85"/>
    </row>
    <row r="72" spans="1:10" x14ac:dyDescent="0.15">
      <c r="A72" s="7"/>
      <c r="B72" s="85"/>
      <c r="C72" s="85"/>
      <c r="D72" s="85"/>
      <c r="E72" s="85"/>
      <c r="G72" s="7"/>
      <c r="H72" s="22"/>
      <c r="J72" s="22"/>
    </row>
    <row r="73" spans="1:10" x14ac:dyDescent="0.15">
      <c r="A73" s="21"/>
      <c r="B73" s="21"/>
      <c r="C73" s="21"/>
      <c r="D73" s="21"/>
      <c r="E73" s="21"/>
      <c r="G73" s="21"/>
    </row>
    <row r="74" spans="1:10" x14ac:dyDescent="0.15">
      <c r="A74" s="21"/>
      <c r="B74" s="21"/>
      <c r="C74" s="21"/>
      <c r="D74" s="21"/>
      <c r="E74" s="21"/>
      <c r="G74" s="21"/>
    </row>
    <row r="75" spans="1:10" x14ac:dyDescent="0.15">
      <c r="A75" s="21"/>
      <c r="B75" s="21"/>
      <c r="C75" s="21"/>
      <c r="D75" s="21"/>
      <c r="E75" s="21"/>
      <c r="G75" s="21"/>
    </row>
    <row r="76" spans="1:10" x14ac:dyDescent="0.15">
      <c r="A76" s="21"/>
      <c r="B76" s="21"/>
      <c r="C76" s="21"/>
      <c r="D76" s="21"/>
      <c r="E76" s="21"/>
      <c r="G76" s="21"/>
    </row>
  </sheetData>
  <mergeCells count="8">
    <mergeCell ref="D19:E19"/>
    <mergeCell ref="J19:K19"/>
    <mergeCell ref="D3:E3"/>
    <mergeCell ref="J3:K3"/>
    <mergeCell ref="G18:K18"/>
    <mergeCell ref="A18:E18"/>
    <mergeCell ref="D11:E11"/>
    <mergeCell ref="J11:K11"/>
  </mergeCells>
  <phoneticPr fontId="2"/>
  <printOptions horizontalCentered="1"/>
  <pageMargins left="0.70866141732283472" right="0.70866141732283472" top="1.1417322834645669" bottom="0.74803149606299213" header="0.70866141732283472" footer="0.31496062992125984"/>
  <pageSetup paperSize="9" scale="83" fitToHeight="0" orientation="landscape" r:id="rId1"/>
  <rowBreaks count="1" manualBreakCount="1">
    <brk id="16"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Button 1">
              <controlPr defaultSize="0" print="0" autoFill="0" autoPict="0" macro="[0]!データ削除_入院形態_65歳以上">
                <anchor moveWithCells="1" sizeWithCells="1">
                  <from>
                    <xdr:col>11</xdr:col>
                    <xdr:colOff>361950</xdr:colOff>
                    <xdr:row>3</xdr:row>
                    <xdr:rowOff>9525</xdr:rowOff>
                  </from>
                  <to>
                    <xdr:col>13</xdr:col>
                    <xdr:colOff>304800</xdr:colOff>
                    <xdr:row>4</xdr:row>
                    <xdr:rowOff>276225</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rgb="FFFF0000"/>
    <pageSetUpPr fitToPage="1"/>
  </sheetPr>
  <dimension ref="B1:Q67"/>
  <sheetViews>
    <sheetView showGridLines="0" view="pageBreakPreview" zoomScale="80" zoomScaleNormal="100" zoomScaleSheetLayoutView="80" workbookViewId="0">
      <selection activeCell="S10" sqref="S10"/>
    </sheetView>
  </sheetViews>
  <sheetFormatPr defaultRowHeight="18.75" x14ac:dyDescent="0.15"/>
  <cols>
    <col min="1" max="1" width="9" style="1" customWidth="1"/>
    <col min="2" max="2" width="43.75" style="1" customWidth="1"/>
    <col min="3" max="6" width="9.375" style="1" customWidth="1"/>
    <col min="7" max="7" width="9" style="1" hidden="1" customWidth="1"/>
    <col min="8" max="8" width="56.125" style="1" hidden="1" customWidth="1"/>
    <col min="9" max="10" width="10.875" style="1" hidden="1" customWidth="1"/>
    <col min="11" max="16" width="9" style="1" hidden="1" customWidth="1"/>
    <col min="17" max="18" width="9" style="1" customWidth="1"/>
    <col min="19" max="16384" width="9" style="1"/>
  </cols>
  <sheetData>
    <row r="1" spans="2:17" ht="19.5" customHeight="1" x14ac:dyDescent="0.15">
      <c r="B1" s="2" t="s">
        <v>77</v>
      </c>
      <c r="H1" s="55" t="s">
        <v>63</v>
      </c>
    </row>
    <row r="2" spans="2:17" ht="18.75" customHeight="1" thickBot="1" x14ac:dyDescent="0.2">
      <c r="B2" s="913" t="s">
        <v>240</v>
      </c>
      <c r="C2" s="915" t="s">
        <v>266</v>
      </c>
      <c r="D2" s="916"/>
      <c r="E2" s="916"/>
      <c r="F2" s="917"/>
    </row>
    <row r="3" spans="2:17" ht="18.75" customHeight="1" thickTop="1" thickBot="1" x14ac:dyDescent="0.2">
      <c r="B3" s="914"/>
      <c r="C3" s="918" t="s">
        <v>267</v>
      </c>
      <c r="D3" s="919"/>
      <c r="E3" s="920" t="s">
        <v>265</v>
      </c>
      <c r="F3" s="919"/>
      <c r="G3" s="34" t="s">
        <v>279</v>
      </c>
      <c r="H3" s="488" t="s">
        <v>373</v>
      </c>
      <c r="I3" s="59" t="s">
        <v>307</v>
      </c>
      <c r="J3" s="59" t="s">
        <v>306</v>
      </c>
      <c r="N3" s="42" t="s">
        <v>267</v>
      </c>
      <c r="O3" s="42" t="s">
        <v>265</v>
      </c>
      <c r="Q3" s="42"/>
    </row>
    <row r="4" spans="2:17" ht="38.25" customHeight="1" thickTop="1" x14ac:dyDescent="0.15">
      <c r="B4" s="87" t="s">
        <v>231</v>
      </c>
      <c r="C4" s="381">
        <f>IFERROR(INDEX(退院予定有無×年齢階層[#All],MATCH($M4,退院予定有無×年齢階層[[#All],[行ラベル]],0),MATCH($N$3,退院予定有無×年齢階層[#Headers],0)),0)</f>
        <v>752</v>
      </c>
      <c r="D4" s="203">
        <f>IFERROR(C4/C$7,"-")</f>
        <v>0.12670598146588036</v>
      </c>
      <c r="E4" s="381">
        <f>IFERROR(INDEX(退院予定有無×年齢階層[#All],MATCH($M4,退院予定有無×年齢階層[[#All],[行ラベル]],0),MATCH($O$3,退院予定有無×年齢階層[#Headers],0)),0)</f>
        <v>1323</v>
      </c>
      <c r="F4" s="204">
        <f>IFERROR(E4/E$7,"-")</f>
        <v>0.1460748592249089</v>
      </c>
      <c r="G4" s="39">
        <f>C4+E4</f>
        <v>2075</v>
      </c>
      <c r="H4" s="33">
        <v>97</v>
      </c>
      <c r="I4" s="538">
        <v>1323</v>
      </c>
      <c r="J4" s="59">
        <v>752</v>
      </c>
      <c r="K4" s="53"/>
      <c r="M4" s="33">
        <v>97</v>
      </c>
    </row>
    <row r="5" spans="2:17" ht="18.75" customHeight="1" x14ac:dyDescent="0.15">
      <c r="B5" s="91" t="s">
        <v>241</v>
      </c>
      <c r="C5" s="205">
        <f>IFERROR(INDEX(退院予定有無×年齢階層[#All],MATCH($M5,退院予定有無×年齢階層[[#All],[行ラベル]],0),MATCH($N$3,退院予定有無×年齢階層[#Headers],0)),0)</f>
        <v>4303</v>
      </c>
      <c r="D5" s="206">
        <f>IFERROR(C5/C$7,"-")</f>
        <v>0.72502106149957879</v>
      </c>
      <c r="E5" s="205">
        <f>IFERROR(INDEX(退院予定有無×年齢階層[#All],MATCH($M5,退院予定有無×年齢階層[[#All],[行ラベル]],0),MATCH($O$3,退院予定有無×年齢階層[#Headers],0)),0)</f>
        <v>6993</v>
      </c>
      <c r="F5" s="207">
        <f>IFERROR(E5/E$7,"-")</f>
        <v>0.77210997018880423</v>
      </c>
      <c r="G5" s="39">
        <f>C5+E5</f>
        <v>11296</v>
      </c>
      <c r="H5" s="33">
        <v>98</v>
      </c>
      <c r="I5" s="538">
        <v>6993</v>
      </c>
      <c r="J5" s="538">
        <v>4303</v>
      </c>
      <c r="M5" s="33">
        <v>98</v>
      </c>
    </row>
    <row r="6" spans="2:17" ht="18.75" customHeight="1" x14ac:dyDescent="0.15">
      <c r="B6" s="122" t="s">
        <v>36</v>
      </c>
      <c r="C6" s="205">
        <f>IFERROR(INDEX(退院予定有無×年齢階層[#All],MATCH($M6,退院予定有無×年齢階層[[#All],[行ラベル]],0),MATCH($N$3,退院予定有無×年齢階層[#Headers],0)),0)</f>
        <v>880</v>
      </c>
      <c r="D6" s="209">
        <f>IFERROR(C6/C$7,"-")</f>
        <v>0.14827295703454085</v>
      </c>
      <c r="E6" s="205">
        <f>IFERROR(INDEX(退院予定有無×年齢階層[#All],MATCH($M6,退院予定有無×年齢階層[[#All],[行ラベル]],0),MATCH($O$3,退院予定有無×年齢階層[#Headers],0)),0)</f>
        <v>741</v>
      </c>
      <c r="F6" s="210">
        <f>IFERROR(E6/E$7,"-")</f>
        <v>8.1815170586286845E-2</v>
      </c>
      <c r="G6" s="39">
        <f>C6+E6</f>
        <v>1621</v>
      </c>
      <c r="H6" s="33">
        <v>99</v>
      </c>
      <c r="I6" s="59">
        <v>741</v>
      </c>
      <c r="J6" s="127">
        <v>880</v>
      </c>
      <c r="M6" s="33">
        <v>99</v>
      </c>
    </row>
    <row r="7" spans="2:17" ht="18.75" customHeight="1" x14ac:dyDescent="0.15">
      <c r="B7" s="92" t="s">
        <v>161</v>
      </c>
      <c r="C7" s="211">
        <f t="shared" ref="C7:F7" si="0">SUM(C4:C6)</f>
        <v>5935</v>
      </c>
      <c r="D7" s="212">
        <f t="shared" si="0"/>
        <v>1</v>
      </c>
      <c r="E7" s="213">
        <f t="shared" si="0"/>
        <v>9057</v>
      </c>
      <c r="F7" s="212">
        <f t="shared" si="0"/>
        <v>1</v>
      </c>
      <c r="G7" s="39">
        <f>C7+E7</f>
        <v>14992</v>
      </c>
      <c r="H7" s="33"/>
      <c r="M7" s="33"/>
    </row>
    <row r="8" spans="2:17" ht="18.75" customHeight="1" thickBot="1" x14ac:dyDescent="0.2">
      <c r="B8" s="96"/>
      <c r="C8" s="214"/>
      <c r="D8" s="215"/>
      <c r="E8" s="216"/>
      <c r="F8" s="215"/>
      <c r="G8" s="39"/>
      <c r="H8" s="33"/>
      <c r="M8" s="33"/>
    </row>
    <row r="9" spans="2:17" ht="18.75" customHeight="1" thickTop="1" thickBot="1" x14ac:dyDescent="0.2">
      <c r="B9" s="128" t="s">
        <v>239</v>
      </c>
      <c r="C9" s="217"/>
      <c r="D9" s="218"/>
      <c r="E9" s="218"/>
      <c r="F9" s="219"/>
      <c r="G9" s="39"/>
      <c r="H9" s="488" t="s">
        <v>373</v>
      </c>
      <c r="I9" s="373" t="s">
        <v>307</v>
      </c>
      <c r="J9" s="373" t="s">
        <v>306</v>
      </c>
    </row>
    <row r="10" spans="2:17" ht="18.75" customHeight="1" thickTop="1" x14ac:dyDescent="0.15">
      <c r="B10" s="101" t="s">
        <v>34</v>
      </c>
      <c r="C10" s="202">
        <f>IFERROR(INDEX(阻害要因有無×年齢階層[#All],MATCH($M10,阻害要因有無×年齢階層[[#All],[行ラベル]],0),MATCH($N$3,阻害要因有無×年齢階層[#Headers],0)),0)</f>
        <v>623</v>
      </c>
      <c r="D10" s="204">
        <f>IFERROR(C10/C$4,"-")</f>
        <v>0.82845744680851063</v>
      </c>
      <c r="E10" s="202">
        <f>IFERROR(INDEX(阻害要因有無×年齢階層[#All],MATCH($M10,阻害要因有無×年齢階層[[#All],[行ラベル]],0),MATCH($O$3,阻害要因有無×年齢階層[#Headers],0)),0)</f>
        <v>1206</v>
      </c>
      <c r="F10" s="204">
        <f>IFERROR(E10/E$4,"-")</f>
        <v>0.91156462585034015</v>
      </c>
      <c r="G10" s="39">
        <f>C10+E10</f>
        <v>1829</v>
      </c>
      <c r="H10" s="33">
        <v>91</v>
      </c>
      <c r="I10" s="538">
        <v>1206</v>
      </c>
      <c r="J10" s="59">
        <v>623</v>
      </c>
      <c r="K10" s="53"/>
      <c r="M10" s="33">
        <v>91</v>
      </c>
    </row>
    <row r="11" spans="2:17" ht="18.75" customHeight="1" x14ac:dyDescent="0.15">
      <c r="B11" s="91" t="s">
        <v>35</v>
      </c>
      <c r="C11" s="205">
        <f>IFERROR(INDEX(阻害要因有無×年齢階層[#All],MATCH($M11,阻害要因有無×年齢階層[[#All],[行ラベル]],0),MATCH($N$3,阻害要因有無×年齢階層[#Headers],0)),0)</f>
        <v>129</v>
      </c>
      <c r="D11" s="206">
        <f>IFERROR(C11/C$4,"-")</f>
        <v>0.17154255319148937</v>
      </c>
      <c r="E11" s="205">
        <f>IFERROR(INDEX(阻害要因有無×年齢階層[#All],MATCH($M11,阻害要因有無×年齢階層[[#All],[行ラベル]],0),MATCH($O$3,阻害要因有無×年齢階層[#Headers],0)),0)</f>
        <v>117</v>
      </c>
      <c r="F11" s="206">
        <f>IFERROR(E11/E$4,"-")</f>
        <v>8.8435374149659865E-2</v>
      </c>
      <c r="G11" s="39">
        <f>C11+E11</f>
        <v>246</v>
      </c>
      <c r="H11" s="33">
        <v>90</v>
      </c>
      <c r="I11" s="59">
        <v>117</v>
      </c>
      <c r="J11" s="59">
        <v>129</v>
      </c>
      <c r="M11" s="33">
        <v>90</v>
      </c>
    </row>
    <row r="12" spans="2:17" ht="18.75" customHeight="1" thickBot="1" x14ac:dyDescent="0.2">
      <c r="B12" s="102" t="s">
        <v>263</v>
      </c>
      <c r="C12" s="927"/>
      <c r="D12" s="928"/>
      <c r="E12" s="928"/>
      <c r="F12" s="929"/>
      <c r="G12" s="39"/>
      <c r="H12" s="38"/>
      <c r="K12" s="52"/>
    </row>
    <row r="13" spans="2:17" ht="18.75" customHeight="1" thickTop="1" thickBot="1" x14ac:dyDescent="0.2">
      <c r="B13" s="921" t="s">
        <v>274</v>
      </c>
      <c r="C13" s="922"/>
      <c r="D13" s="922"/>
      <c r="E13" s="922"/>
      <c r="F13" s="923"/>
      <c r="G13" s="39"/>
      <c r="H13" s="488" t="s">
        <v>619</v>
      </c>
      <c r="I13" s="373" t="s">
        <v>307</v>
      </c>
      <c r="J13" s="373" t="s">
        <v>306</v>
      </c>
    </row>
    <row r="14" spans="2:17" ht="37.5" customHeight="1" thickTop="1" x14ac:dyDescent="0.15">
      <c r="B14" s="129" t="s">
        <v>235</v>
      </c>
      <c r="C14" s="220">
        <f>IFERROR(INDEX(阻害要因×年齢階層[#All],MATCH($M14,阻害要因×年齢階層[[#All],[値]],0),MATCH($N$3,阻害要因×年齢階層[#Headers],0)),0)</f>
        <v>290</v>
      </c>
      <c r="D14" s="221">
        <f t="shared" ref="D14:D30" si="1">IFERROR(C14/C$10,"-")</f>
        <v>0.4654895666131621</v>
      </c>
      <c r="E14" s="220">
        <f>IFERROR(INDEX(阻害要因×年齢階層[#All],MATCH($M14,阻害要因×年齢階層[[#All],[値]],0),MATCH($O$3,阻害要因×年齢階層[#Headers],0)),0)</f>
        <v>380</v>
      </c>
      <c r="F14" s="221">
        <f t="shared" ref="F14:F30" si="2">IFERROR(E14/E$10,"-")</f>
        <v>0.31509121061359868</v>
      </c>
      <c r="G14" s="39">
        <f>SUM(C14,E14)</f>
        <v>670</v>
      </c>
      <c r="H14" s="55" t="s">
        <v>309</v>
      </c>
      <c r="I14" s="59">
        <v>380</v>
      </c>
      <c r="J14" s="59">
        <v>290</v>
      </c>
      <c r="K14" s="53"/>
      <c r="M14" s="401" t="s">
        <v>309</v>
      </c>
    </row>
    <row r="15" spans="2:17" ht="18.75" customHeight="1" x14ac:dyDescent="0.15">
      <c r="B15" s="130" t="s">
        <v>66</v>
      </c>
      <c r="C15" s="205">
        <f>IFERROR(INDEX(阻害要因×年齢階層[#All],MATCH($M15,阻害要因×年齢階層[[#All],[値]],0),MATCH($N$3,阻害要因×年齢階層[#Headers],0)),0)</f>
        <v>215</v>
      </c>
      <c r="D15" s="222">
        <f t="shared" si="1"/>
        <v>0.3451043338683788</v>
      </c>
      <c r="E15" s="205">
        <f>IFERROR(INDEX(阻害要因×年齢階層[#All],MATCH($M15,阻害要因×年齢階層[[#All],[値]],0),MATCH($O$3,阻害要因×年齢階層[#Headers],0)),0)</f>
        <v>355</v>
      </c>
      <c r="F15" s="222">
        <f t="shared" si="2"/>
        <v>0.29436152570480928</v>
      </c>
      <c r="G15" s="39">
        <f t="shared" ref="G15:G33" si="3">SUM(C15,E15)</f>
        <v>570</v>
      </c>
      <c r="H15" s="55" t="s">
        <v>310</v>
      </c>
      <c r="I15" s="59">
        <v>355</v>
      </c>
      <c r="J15" s="59">
        <v>215</v>
      </c>
      <c r="M15" s="401" t="s">
        <v>310</v>
      </c>
    </row>
    <row r="16" spans="2:17" ht="18.75" customHeight="1" x14ac:dyDescent="0.15">
      <c r="B16" s="130" t="s">
        <v>38</v>
      </c>
      <c r="C16" s="205">
        <f>IFERROR(INDEX(阻害要因×年齢階層[#All],MATCH($M16,阻害要因×年齢階層[[#All],[値]],0),MATCH($N$3,阻害要因×年齢階層[#Headers],0)),0)</f>
        <v>56</v>
      </c>
      <c r="D16" s="222">
        <f t="shared" si="1"/>
        <v>8.98876404494382E-2</v>
      </c>
      <c r="E16" s="205">
        <f>IFERROR(INDEX(阻害要因×年齢階層[#All],MATCH($M16,阻害要因×年齢階層[[#All],[値]],0),MATCH($O$3,阻害要因×年齢階層[#Headers],0)),0)</f>
        <v>35</v>
      </c>
      <c r="F16" s="222">
        <f t="shared" si="2"/>
        <v>2.9021558872305141E-2</v>
      </c>
      <c r="G16" s="39">
        <f t="shared" si="3"/>
        <v>91</v>
      </c>
      <c r="H16" s="55" t="s">
        <v>166</v>
      </c>
      <c r="I16" s="59">
        <v>35</v>
      </c>
      <c r="J16" s="59">
        <v>56</v>
      </c>
      <c r="L16" s="22"/>
      <c r="M16" s="55" t="s">
        <v>166</v>
      </c>
    </row>
    <row r="17" spans="2:13" ht="18.75" customHeight="1" x14ac:dyDescent="0.15">
      <c r="B17" s="130" t="s">
        <v>39</v>
      </c>
      <c r="C17" s="205">
        <f>IFERROR(INDEX(阻害要因×年齢階層[#All],MATCH($M17,阻害要因×年齢階層[[#All],[値]],0),MATCH($N$3,阻害要因×年齢階層[#Headers],0)),0)</f>
        <v>202</v>
      </c>
      <c r="D17" s="206">
        <f t="shared" si="1"/>
        <v>0.32423756019261635</v>
      </c>
      <c r="E17" s="205">
        <f>IFERROR(INDEX(阻害要因×年齢階層[#All],MATCH($M17,阻害要因×年齢階層[[#All],[値]],0),MATCH($O$3,阻害要因×年齢階層[#Headers],0)),0)</f>
        <v>475</v>
      </c>
      <c r="F17" s="206">
        <f t="shared" si="2"/>
        <v>0.39386401326699833</v>
      </c>
      <c r="G17" s="39">
        <f t="shared" si="3"/>
        <v>677</v>
      </c>
      <c r="H17" s="55" t="s">
        <v>167</v>
      </c>
      <c r="I17" s="59">
        <v>475</v>
      </c>
      <c r="J17" s="59">
        <v>202</v>
      </c>
      <c r="L17" s="22"/>
      <c r="M17" s="55" t="s">
        <v>167</v>
      </c>
    </row>
    <row r="18" spans="2:13" ht="18.75" customHeight="1" x14ac:dyDescent="0.15">
      <c r="B18" s="130" t="s">
        <v>40</v>
      </c>
      <c r="C18" s="205">
        <f>IFERROR(INDEX(阻害要因×年齢階層[#All],MATCH($M18,阻害要因×年齢階層[[#All],[値]],0),MATCH($N$3,阻害要因×年齢階層[#Headers],0)),0)</f>
        <v>273</v>
      </c>
      <c r="D18" s="206">
        <f t="shared" si="1"/>
        <v>0.43820224719101125</v>
      </c>
      <c r="E18" s="205">
        <f>IFERROR(INDEX(阻害要因×年齢階層[#All],MATCH($M18,阻害要因×年齢階層[[#All],[値]],0),MATCH($O$3,阻害要因×年齢階層[#Headers],0)),0)</f>
        <v>533</v>
      </c>
      <c r="F18" s="206">
        <f t="shared" si="2"/>
        <v>0.4419568822553897</v>
      </c>
      <c r="G18" s="39">
        <f t="shared" si="3"/>
        <v>806</v>
      </c>
      <c r="H18" s="55" t="s">
        <v>168</v>
      </c>
      <c r="I18" s="59">
        <v>533</v>
      </c>
      <c r="J18" s="59">
        <v>273</v>
      </c>
      <c r="L18" s="22"/>
      <c r="M18" s="55" t="s">
        <v>168</v>
      </c>
    </row>
    <row r="19" spans="2:13" ht="18.75" customHeight="1" x14ac:dyDescent="0.15">
      <c r="B19" s="130" t="s">
        <v>41</v>
      </c>
      <c r="C19" s="205">
        <f>IFERROR(INDEX(阻害要因×年齢階層[#All],MATCH($M19,阻害要因×年齢階層[[#All],[値]],0),MATCH($N$3,阻害要因×年齢階層[#Headers],0)),0)</f>
        <v>204</v>
      </c>
      <c r="D19" s="209">
        <f t="shared" si="1"/>
        <v>0.3274478330658106</v>
      </c>
      <c r="E19" s="205">
        <f>IFERROR(INDEX(阻害要因×年齢階層[#All],MATCH($M19,阻害要因×年齢階層[[#All],[値]],0),MATCH($O$3,阻害要因×年齢階層[#Headers],0)),0)</f>
        <v>305</v>
      </c>
      <c r="F19" s="209">
        <f t="shared" si="2"/>
        <v>0.25290215588723053</v>
      </c>
      <c r="G19" s="39">
        <f t="shared" si="3"/>
        <v>509</v>
      </c>
      <c r="H19" s="55" t="s">
        <v>169</v>
      </c>
      <c r="I19" s="59">
        <v>305</v>
      </c>
      <c r="J19" s="59">
        <v>204</v>
      </c>
      <c r="M19" s="55" t="s">
        <v>169</v>
      </c>
    </row>
    <row r="20" spans="2:13" ht="18.75" customHeight="1" x14ac:dyDescent="0.15">
      <c r="B20" s="130" t="s">
        <v>42</v>
      </c>
      <c r="C20" s="205">
        <f>IFERROR(INDEX(阻害要因×年齢階層[#All],MATCH($M20,阻害要因×年齢階層[[#All],[値]],0),MATCH($N$3,阻害要因×年齢階層[#Headers],0)),0)</f>
        <v>83</v>
      </c>
      <c r="D20" s="206">
        <f t="shared" si="1"/>
        <v>0.1332263242375602</v>
      </c>
      <c r="E20" s="205">
        <f>IFERROR(INDEX(阻害要因×年齢階層[#All],MATCH($M20,阻害要因×年齢階層[[#All],[値]],0),MATCH($O$3,阻害要因×年齢階層[#Headers],0)),0)</f>
        <v>81</v>
      </c>
      <c r="F20" s="206">
        <f t="shared" si="2"/>
        <v>6.7164179104477612E-2</v>
      </c>
      <c r="G20" s="39">
        <f t="shared" si="3"/>
        <v>164</v>
      </c>
      <c r="H20" s="55" t="s">
        <v>170</v>
      </c>
      <c r="I20" s="59">
        <v>81</v>
      </c>
      <c r="J20" s="59">
        <v>83</v>
      </c>
      <c r="M20" s="55" t="s">
        <v>170</v>
      </c>
    </row>
    <row r="21" spans="2:13" ht="18.75" customHeight="1" x14ac:dyDescent="0.15">
      <c r="B21" s="130" t="s">
        <v>43</v>
      </c>
      <c r="C21" s="205">
        <f>IFERROR(INDEX(阻害要因×年齢階層[#All],MATCH($M21,阻害要因×年齢階層[[#All],[値]],0),MATCH($N$3,阻害要因×年齢階層[#Headers],0)),0)</f>
        <v>202</v>
      </c>
      <c r="D21" s="206">
        <f>IFERROR(C21/C$10,"-")</f>
        <v>0.32423756019261635</v>
      </c>
      <c r="E21" s="205">
        <f>IFERROR(INDEX(阻害要因×年齢階層[#All],MATCH($M21,阻害要因×年齢階層[[#All],[値]],0),MATCH($O$3,阻害要因×年齢階層[#Headers],0)),0)</f>
        <v>442</v>
      </c>
      <c r="F21" s="206">
        <f t="shared" si="2"/>
        <v>0.36650082918739635</v>
      </c>
      <c r="G21" s="39">
        <f t="shared" si="3"/>
        <v>644</v>
      </c>
      <c r="H21" s="55" t="s">
        <v>171</v>
      </c>
      <c r="I21" s="59">
        <v>442</v>
      </c>
      <c r="J21" s="59">
        <v>202</v>
      </c>
      <c r="M21" s="55" t="s">
        <v>171</v>
      </c>
    </row>
    <row r="22" spans="2:13" ht="18.75" customHeight="1" x14ac:dyDescent="0.15">
      <c r="B22" s="130" t="s">
        <v>44</v>
      </c>
      <c r="C22" s="205">
        <f>IFERROR(INDEX(阻害要因×年齢階層[#All],MATCH($M22,阻害要因×年齢階層[[#All],[値]],0),MATCH($N$3,阻害要因×年齢階層[#Headers],0)),0)</f>
        <v>101</v>
      </c>
      <c r="D22" s="206">
        <f t="shared" si="1"/>
        <v>0.16211878009630817</v>
      </c>
      <c r="E22" s="205">
        <f>IFERROR(INDEX(阻害要因×年齢階層[#All],MATCH($M22,阻害要因×年齢階層[[#All],[値]],0),MATCH($O$3,阻害要因×年齢階層[#Headers],0)),0)</f>
        <v>194</v>
      </c>
      <c r="F22" s="206">
        <f t="shared" si="2"/>
        <v>0.16086235489220563</v>
      </c>
      <c r="G22" s="39">
        <f t="shared" si="3"/>
        <v>295</v>
      </c>
      <c r="H22" s="55" t="s">
        <v>172</v>
      </c>
      <c r="I22" s="59">
        <v>194</v>
      </c>
      <c r="J22" s="59">
        <v>101</v>
      </c>
      <c r="M22" s="55" t="s">
        <v>172</v>
      </c>
    </row>
    <row r="23" spans="2:13" ht="18.75" customHeight="1" x14ac:dyDescent="0.15">
      <c r="B23" s="130" t="s">
        <v>45</v>
      </c>
      <c r="C23" s="205">
        <f>IFERROR(INDEX(阻害要因×年齢階層[#All],MATCH($M23,阻害要因×年齢階層[[#All],[値]],0),MATCH($N$3,阻害要因×年齢階層[#Headers],0)),0)</f>
        <v>120</v>
      </c>
      <c r="D23" s="206">
        <f t="shared" si="1"/>
        <v>0.1926163723916533</v>
      </c>
      <c r="E23" s="205">
        <f>IFERROR(INDEX(阻害要因×年齢階層[#All],MATCH($M23,阻害要因×年齢階層[[#All],[値]],0),MATCH($O$3,阻害要因×年齢階層[#Headers],0)),0)</f>
        <v>222</v>
      </c>
      <c r="F23" s="206">
        <f t="shared" si="2"/>
        <v>0.18407960199004975</v>
      </c>
      <c r="G23" s="39">
        <f t="shared" si="3"/>
        <v>342</v>
      </c>
      <c r="H23" s="55" t="s">
        <v>173</v>
      </c>
      <c r="I23" s="59">
        <v>222</v>
      </c>
      <c r="J23" s="59">
        <v>120</v>
      </c>
      <c r="M23" s="55" t="s">
        <v>173</v>
      </c>
    </row>
    <row r="24" spans="2:13" ht="18.75" customHeight="1" x14ac:dyDescent="0.15">
      <c r="B24" s="130" t="s">
        <v>46</v>
      </c>
      <c r="C24" s="205">
        <f>IFERROR(INDEX(阻害要因×年齢階層[#All],MATCH($M24,阻害要因×年齢階層[[#All],[値]],0),MATCH($N$3,阻害要因×年齢階層[#Headers],0)),0)</f>
        <v>202</v>
      </c>
      <c r="D24" s="206">
        <f t="shared" si="1"/>
        <v>0.32423756019261635</v>
      </c>
      <c r="E24" s="205">
        <f>IFERROR(INDEX(阻害要因×年齢階層[#All],MATCH($M24,阻害要因×年齢階層[[#All],[値]],0),MATCH($O$3,阻害要因×年齢階層[#Headers],0)),0)</f>
        <v>403</v>
      </c>
      <c r="F24" s="206">
        <f t="shared" si="2"/>
        <v>0.33416252072968489</v>
      </c>
      <c r="G24" s="39">
        <f t="shared" si="3"/>
        <v>605</v>
      </c>
      <c r="H24" s="55" t="s">
        <v>174</v>
      </c>
      <c r="I24" s="59">
        <v>403</v>
      </c>
      <c r="J24" s="59">
        <v>202</v>
      </c>
      <c r="M24" s="55" t="s">
        <v>174</v>
      </c>
    </row>
    <row r="25" spans="2:13" ht="18.75" customHeight="1" x14ac:dyDescent="0.15">
      <c r="B25" s="130" t="s">
        <v>47</v>
      </c>
      <c r="C25" s="205">
        <f>IFERROR(INDEX(阻害要因×年齢階層[#All],MATCH($M25,阻害要因×年齢階層[[#All],[値]],0),MATCH($N$3,阻害要因×年齢階層[#Headers],0)),0)</f>
        <v>32</v>
      </c>
      <c r="D25" s="206">
        <f t="shared" si="1"/>
        <v>5.1364365971107544E-2</v>
      </c>
      <c r="E25" s="205">
        <f>IFERROR(INDEX(阻害要因×年齢階層[#All],MATCH($M25,阻害要因×年齢階層[[#All],[値]],0),MATCH($O$3,阻害要因×年齢階層[#Headers],0)),0)</f>
        <v>89</v>
      </c>
      <c r="F25" s="206">
        <f t="shared" si="2"/>
        <v>7.3797678275290213E-2</v>
      </c>
      <c r="G25" s="39">
        <f t="shared" si="3"/>
        <v>121</v>
      </c>
      <c r="H25" s="55" t="s">
        <v>175</v>
      </c>
      <c r="I25" s="59">
        <v>89</v>
      </c>
      <c r="J25" s="59">
        <v>32</v>
      </c>
      <c r="M25" s="55" t="s">
        <v>175</v>
      </c>
    </row>
    <row r="26" spans="2:13" ht="18.75" customHeight="1" x14ac:dyDescent="0.15">
      <c r="B26" s="130" t="s">
        <v>48</v>
      </c>
      <c r="C26" s="205">
        <f>IFERROR(INDEX(阻害要因×年齢階層[#All],MATCH($M26,阻害要因×年齢階層[[#All],[値]],0),MATCH($N$3,阻害要因×年齢階層[#Headers],0)),0)</f>
        <v>31</v>
      </c>
      <c r="D26" s="206">
        <f t="shared" si="1"/>
        <v>4.9759229534510431E-2</v>
      </c>
      <c r="E26" s="205">
        <f>IFERROR(INDEX(阻害要因×年齢階層[#All],MATCH($M26,阻害要因×年齢階層[[#All],[値]],0),MATCH($O$3,阻害要因×年齢階層[#Headers],0)),0)</f>
        <v>39</v>
      </c>
      <c r="F26" s="206">
        <f t="shared" si="2"/>
        <v>3.2338308457711441E-2</v>
      </c>
      <c r="G26" s="39">
        <f t="shared" si="3"/>
        <v>70</v>
      </c>
      <c r="H26" s="55" t="s">
        <v>176</v>
      </c>
      <c r="I26" s="59">
        <v>39</v>
      </c>
      <c r="J26" s="59">
        <v>31</v>
      </c>
      <c r="M26" s="55" t="s">
        <v>176</v>
      </c>
    </row>
    <row r="27" spans="2:13" ht="18.75" customHeight="1" x14ac:dyDescent="0.15">
      <c r="B27" s="130" t="s">
        <v>49</v>
      </c>
      <c r="C27" s="205">
        <f>IFERROR(INDEX(阻害要因×年齢階層[#All],MATCH($M27,阻害要因×年齢階層[[#All],[値]],0),MATCH($N$3,阻害要因×年齢階層[#Headers],0)),0)</f>
        <v>4</v>
      </c>
      <c r="D27" s="222">
        <f t="shared" si="1"/>
        <v>6.420545746388443E-3</v>
      </c>
      <c r="E27" s="205">
        <f>IFERROR(INDEX(阻害要因×年齢階層[#All],MATCH($M27,阻害要因×年齢階層[[#All],[値]],0),MATCH($O$3,阻害要因×年齢階層[#Headers],0)),0)</f>
        <v>2</v>
      </c>
      <c r="F27" s="222">
        <f t="shared" si="2"/>
        <v>1.658374792703151E-3</v>
      </c>
      <c r="G27" s="39">
        <f t="shared" si="3"/>
        <v>6</v>
      </c>
      <c r="H27" s="55" t="s">
        <v>177</v>
      </c>
      <c r="I27" s="59">
        <v>2</v>
      </c>
      <c r="J27" s="59">
        <v>4</v>
      </c>
      <c r="M27" s="55" t="s">
        <v>177</v>
      </c>
    </row>
    <row r="28" spans="2:13" ht="18.75" customHeight="1" x14ac:dyDescent="0.15">
      <c r="B28" s="130" t="s">
        <v>50</v>
      </c>
      <c r="C28" s="205">
        <f>IFERROR(INDEX(阻害要因×年齢階層[#All],MATCH($M28,阻害要因×年齢階層[[#All],[値]],0),MATCH($N$3,阻害要因×年齢階層[#Headers],0)),0)</f>
        <v>58</v>
      </c>
      <c r="D28" s="206">
        <f t="shared" si="1"/>
        <v>9.3097913322632425E-2</v>
      </c>
      <c r="E28" s="205">
        <f>IFERROR(INDEX(阻害要因×年齢階層[#All],MATCH($M28,阻害要因×年齢階層[[#All],[値]],0),MATCH($O$3,阻害要因×年齢階層[#Headers],0)),0)</f>
        <v>91</v>
      </c>
      <c r="F28" s="206">
        <f t="shared" si="2"/>
        <v>7.545605306799337E-2</v>
      </c>
      <c r="G28" s="39">
        <f t="shared" si="3"/>
        <v>149</v>
      </c>
      <c r="H28" s="55" t="s">
        <v>178</v>
      </c>
      <c r="I28" s="59">
        <v>91</v>
      </c>
      <c r="J28" s="59">
        <v>58</v>
      </c>
      <c r="M28" s="55" t="s">
        <v>178</v>
      </c>
    </row>
    <row r="29" spans="2:13" ht="18.75" customHeight="1" x14ac:dyDescent="0.15">
      <c r="B29" s="130" t="s">
        <v>51</v>
      </c>
      <c r="C29" s="205">
        <f>IFERROR(INDEX(阻害要因×年齢階層[#All],MATCH($M29,阻害要因×年齢階層[[#All],[値]],0),MATCH($N$3,阻害要因×年齢階層[#Headers],0)),0)</f>
        <v>50</v>
      </c>
      <c r="D29" s="206">
        <f t="shared" si="1"/>
        <v>8.0256821829855537E-2</v>
      </c>
      <c r="E29" s="205">
        <f>IFERROR(INDEX(阻害要因×年齢階層[#All],MATCH($M29,阻害要因×年齢階層[[#All],[値]],0),MATCH($O$3,阻害要因×年齢階層[#Headers],0)),0)</f>
        <v>81</v>
      </c>
      <c r="F29" s="206">
        <f t="shared" si="2"/>
        <v>6.7164179104477612E-2</v>
      </c>
      <c r="G29" s="39">
        <f t="shared" si="3"/>
        <v>131</v>
      </c>
      <c r="H29" s="55" t="s">
        <v>179</v>
      </c>
      <c r="I29" s="59">
        <v>81</v>
      </c>
      <c r="J29" s="59">
        <v>50</v>
      </c>
      <c r="M29" s="55" t="s">
        <v>179</v>
      </c>
    </row>
    <row r="30" spans="2:13" ht="18.75" customHeight="1" x14ac:dyDescent="0.15">
      <c r="B30" s="130" t="s">
        <v>52</v>
      </c>
      <c r="C30" s="205">
        <f>IFERROR(INDEX(阻害要因×年齢階層[#All],MATCH($M30,阻害要因×年齢階層[[#All],[値]],0),MATCH($N$3,阻害要因×年齢階層[#Headers],0)),0)</f>
        <v>10</v>
      </c>
      <c r="D30" s="206">
        <f t="shared" si="1"/>
        <v>1.6051364365971106E-2</v>
      </c>
      <c r="E30" s="205">
        <f>IFERROR(INDEX(阻害要因×年齢階層[#All],MATCH($M30,阻害要因×年齢階層[[#All],[値]],0),MATCH($O$3,阻害要因×年齢階層[#Headers],0)),0)</f>
        <v>18</v>
      </c>
      <c r="F30" s="206">
        <f t="shared" si="2"/>
        <v>1.4925373134328358E-2</v>
      </c>
      <c r="G30" s="39">
        <f t="shared" si="3"/>
        <v>28</v>
      </c>
      <c r="H30" s="55" t="s">
        <v>180</v>
      </c>
      <c r="I30" s="59">
        <v>18</v>
      </c>
      <c r="J30" s="59">
        <v>10</v>
      </c>
      <c r="M30" s="55" t="s">
        <v>180</v>
      </c>
    </row>
    <row r="31" spans="2:13" s="537" customFormat="1" ht="18.75" customHeight="1" x14ac:dyDescent="0.15">
      <c r="B31" s="539" t="s">
        <v>381</v>
      </c>
      <c r="C31" s="205">
        <f>IFERROR(INDEX(阻害要因×年齢階層[#All],MATCH($M31,阻害要因×年齢階層[[#All],[値]],0),MATCH($N$3,阻害要因×年齢階層[#Headers],0)),0)</f>
        <v>56</v>
      </c>
      <c r="D31" s="206">
        <f t="shared" ref="D31:D33" si="4">IFERROR(C31/C$10,"-")</f>
        <v>8.98876404494382E-2</v>
      </c>
      <c r="E31" s="205">
        <f>IFERROR(INDEX(阻害要因×年齢階層[#All],MATCH($M31,阻害要因×年齢階層[[#All],[値]],0),MATCH($O$3,阻害要因×年齢階層[#Headers],0)),0)</f>
        <v>239</v>
      </c>
      <c r="F31" s="206">
        <f t="shared" ref="F31:F33" si="5">IFERROR(E31/E$10,"-")</f>
        <v>0.19817578772802655</v>
      </c>
      <c r="G31" s="39">
        <f t="shared" si="3"/>
        <v>295</v>
      </c>
      <c r="H31" s="55" t="s">
        <v>383</v>
      </c>
      <c r="I31" s="59">
        <v>239</v>
      </c>
      <c r="J31" s="59">
        <v>56</v>
      </c>
      <c r="M31" s="55" t="s">
        <v>383</v>
      </c>
    </row>
    <row r="32" spans="2:13" s="537" customFormat="1" ht="37.5" customHeight="1" x14ac:dyDescent="0.15">
      <c r="B32" s="687" t="s">
        <v>382</v>
      </c>
      <c r="C32" s="205">
        <f>IFERROR(INDEX(阻害要因×年齢階層[#All],MATCH($M32,阻害要因×年齢階層[[#All],[値]],0),MATCH($N$3,阻害要因×年齢階層[#Headers],0)),0)</f>
        <v>32</v>
      </c>
      <c r="D32" s="206">
        <f t="shared" si="4"/>
        <v>5.1364365971107544E-2</v>
      </c>
      <c r="E32" s="205">
        <f>IFERROR(INDEX(阻害要因×年齢階層[#All],MATCH($M32,阻害要因×年齢階層[[#All],[値]],0),MATCH($O$3,阻害要因×年齢階層[#Headers],0)),0)</f>
        <v>141</v>
      </c>
      <c r="F32" s="206">
        <f t="shared" si="5"/>
        <v>0.11691542288557213</v>
      </c>
      <c r="G32" s="39">
        <f t="shared" si="3"/>
        <v>173</v>
      </c>
      <c r="H32" s="55" t="s">
        <v>384</v>
      </c>
      <c r="I32" s="59">
        <v>141</v>
      </c>
      <c r="J32" s="59">
        <v>32</v>
      </c>
      <c r="M32" s="55" t="s">
        <v>384</v>
      </c>
    </row>
    <row r="33" spans="2:13" ht="18.75" customHeight="1" x14ac:dyDescent="0.15">
      <c r="B33" s="131" t="s">
        <v>53</v>
      </c>
      <c r="C33" s="208">
        <f>IFERROR(INDEX(阻害要因×年齢階層[#All],MATCH($M33,阻害要因×年齢階層[[#All],[値]],0),MATCH($N$3,阻害要因×年齢階層[#Headers],0)),0)</f>
        <v>14</v>
      </c>
      <c r="D33" s="210">
        <f t="shared" si="4"/>
        <v>2.247191011235955E-2</v>
      </c>
      <c r="E33" s="208">
        <f>IFERROR(INDEX(阻害要因×年齢階層[#All],MATCH($M33,阻害要因×年齢階層[[#All],[値]],0),MATCH($O$3,阻害要因×年齢階層[#Headers],0)),0)</f>
        <v>36</v>
      </c>
      <c r="F33" s="210">
        <f t="shared" si="5"/>
        <v>2.9850746268656716E-2</v>
      </c>
      <c r="G33" s="39">
        <f t="shared" si="3"/>
        <v>50</v>
      </c>
      <c r="H33" s="55" t="s">
        <v>181</v>
      </c>
      <c r="I33" s="59">
        <v>36</v>
      </c>
      <c r="J33" s="59">
        <v>14</v>
      </c>
      <c r="M33" s="55" t="s">
        <v>181</v>
      </c>
    </row>
    <row r="34" spans="2:13" ht="18.75" customHeight="1" x14ac:dyDescent="0.15">
      <c r="C34" s="223"/>
      <c r="D34" s="224"/>
      <c r="E34" s="223"/>
      <c r="F34" s="224"/>
      <c r="G34" s="39"/>
      <c r="H34" s="33"/>
    </row>
    <row r="35" spans="2:13" ht="18.75" customHeight="1" x14ac:dyDescent="0.15">
      <c r="B35" s="2" t="s">
        <v>87</v>
      </c>
      <c r="C35" s="223"/>
      <c r="D35" s="223"/>
      <c r="E35" s="223"/>
      <c r="F35" s="223"/>
      <c r="G35" s="39"/>
    </row>
    <row r="36" spans="2:13" ht="18.75" customHeight="1" thickBot="1" x14ac:dyDescent="0.2">
      <c r="B36" s="913" t="s">
        <v>240</v>
      </c>
      <c r="C36" s="930" t="s">
        <v>65</v>
      </c>
      <c r="D36" s="931"/>
      <c r="E36" s="931"/>
      <c r="F36" s="932"/>
      <c r="G36" s="39"/>
      <c r="H36" s="33" t="s">
        <v>63</v>
      </c>
      <c r="I36" s="42" t="s">
        <v>280</v>
      </c>
    </row>
    <row r="37" spans="2:13" ht="18.75" customHeight="1" thickTop="1" thickBot="1" x14ac:dyDescent="0.2">
      <c r="B37" s="914"/>
      <c r="C37" s="933" t="s">
        <v>267</v>
      </c>
      <c r="D37" s="934"/>
      <c r="E37" s="933" t="s">
        <v>265</v>
      </c>
      <c r="F37" s="934"/>
      <c r="G37" s="39"/>
      <c r="H37" s="488" t="s">
        <v>373</v>
      </c>
      <c r="I37" s="373" t="s">
        <v>307</v>
      </c>
      <c r="J37" s="373" t="s">
        <v>306</v>
      </c>
    </row>
    <row r="38" spans="2:13" ht="37.5" customHeight="1" thickTop="1" x14ac:dyDescent="0.15">
      <c r="B38" s="87" t="s">
        <v>231</v>
      </c>
      <c r="C38" s="202">
        <f>IFERROR(INDEX(退院予定有無×年齢階層＿寛解・院内寛解[#All],MATCH($M4,退院予定有無×年齢階層＿寛解・院内寛解[[#All],[行ラベル]],0),MATCH($N$3,退院予定有無×年齢階層＿寛解・院内寛解[#Headers],0)),0)</f>
        <v>258</v>
      </c>
      <c r="D38" s="203">
        <f>IFERROR(C38/C$41,"-")</f>
        <v>0.3134872417982989</v>
      </c>
      <c r="E38" s="202">
        <f>IFERROR(INDEX(退院予定有無×年齢階層＿寛解・院内寛解[#All],MATCH($M4,退院予定有無×年齢階層＿寛解・院内寛解[[#All],[行ラベル]],0),MATCH($O$3,退院予定有無×年齢階層＿寛解・院内寛解[#Headers],0)),0)</f>
        <v>365</v>
      </c>
      <c r="F38" s="204">
        <f>IFERROR(E38/E$41,"-")</f>
        <v>0.43764988009592326</v>
      </c>
      <c r="G38" s="39">
        <f>SUM(C38,E38)</f>
        <v>623</v>
      </c>
      <c r="H38" s="33">
        <v>97</v>
      </c>
      <c r="I38" s="59">
        <v>365</v>
      </c>
      <c r="J38" s="59">
        <v>258</v>
      </c>
    </row>
    <row r="39" spans="2:13" ht="18.75" customHeight="1" x14ac:dyDescent="0.15">
      <c r="B39" s="91" t="s">
        <v>241</v>
      </c>
      <c r="C39" s="205">
        <f>IFERROR(INDEX(退院予定有無×年齢階層＿寛解・院内寛解[#All],MATCH($M5,退院予定有無×年齢階層＿寛解・院内寛解[[#All],[行ラベル]],0),MATCH($N$3,退院予定有無×年齢階層＿寛解・院内寛解[#Headers],0)),0)</f>
        <v>143</v>
      </c>
      <c r="D39" s="206">
        <f>IFERROR(C39/C$41,"-")</f>
        <v>0.17375455650060753</v>
      </c>
      <c r="E39" s="205">
        <f>IFERROR(INDEX(退院予定有無×年齢階層＿寛解・院内寛解[#All],MATCH($M5,退院予定有無×年齢階層＿寛解・院内寛解[[#All],[行ラベル]],0),MATCH($O$3,退院予定有無×年齢階層＿寛解・院内寛解[#Headers],0)),0)</f>
        <v>154</v>
      </c>
      <c r="F39" s="207">
        <f>IFERROR(E39/E$41,"-")</f>
        <v>0.18465227817745802</v>
      </c>
      <c r="G39" s="39">
        <f t="shared" ref="G39:G41" si="6">SUM(C39,E39)</f>
        <v>297</v>
      </c>
      <c r="H39" s="33">
        <v>98</v>
      </c>
      <c r="I39" s="59">
        <v>154</v>
      </c>
      <c r="J39" s="59">
        <v>143</v>
      </c>
    </row>
    <row r="40" spans="2:13" ht="18.75" customHeight="1" x14ac:dyDescent="0.15">
      <c r="B40" s="122" t="s">
        <v>36</v>
      </c>
      <c r="C40" s="208">
        <f>IFERROR(INDEX(退院予定有無×年齢階層＿寛解・院内寛解[#All],MATCH($M6,退院予定有無×年齢階層＿寛解・院内寛解[[#All],[行ラベル]],0),MATCH($N$3,退院予定有無×年齢階層＿寛解・院内寛解[#Headers],0)),0)</f>
        <v>422</v>
      </c>
      <c r="D40" s="209">
        <f>IFERROR(C40/C$41,"-")</f>
        <v>0.51275820170109354</v>
      </c>
      <c r="E40" s="208">
        <f>IFERROR(INDEX(退院予定有無×年齢階層＿寛解・院内寛解[#All],MATCH($M6,退院予定有無×年齢階層＿寛解・院内寛解[[#All],[行ラベル]],0),MATCH($O$3,退院予定有無×年齢階層＿寛解・院内寛解[#Headers],0)),0)</f>
        <v>315</v>
      </c>
      <c r="F40" s="210">
        <f>IFERROR(E40/E$41,"-")</f>
        <v>0.37769784172661869</v>
      </c>
      <c r="G40" s="39">
        <f>SUM(C40,E40,K39)</f>
        <v>737</v>
      </c>
      <c r="H40" s="33">
        <v>99</v>
      </c>
      <c r="I40" s="59">
        <v>315</v>
      </c>
      <c r="J40" s="59">
        <v>422</v>
      </c>
    </row>
    <row r="41" spans="2:13" ht="18.75" customHeight="1" x14ac:dyDescent="0.15">
      <c r="B41" s="92" t="s">
        <v>161</v>
      </c>
      <c r="C41" s="211">
        <f t="shared" ref="C41:F41" si="7">SUM(C38:C40)</f>
        <v>823</v>
      </c>
      <c r="D41" s="212">
        <f t="shared" si="7"/>
        <v>1</v>
      </c>
      <c r="E41" s="213">
        <f>SUM(E38:E40)</f>
        <v>834</v>
      </c>
      <c r="F41" s="212">
        <f t="shared" si="7"/>
        <v>1</v>
      </c>
      <c r="G41" s="39">
        <f t="shared" si="6"/>
        <v>1657</v>
      </c>
      <c r="H41" s="33"/>
    </row>
    <row r="42" spans="2:13" ht="18.75" customHeight="1" thickBot="1" x14ac:dyDescent="0.2">
      <c r="B42" s="96"/>
      <c r="C42" s="214"/>
      <c r="D42" s="215"/>
      <c r="E42" s="216"/>
      <c r="F42" s="215"/>
      <c r="G42" s="39"/>
      <c r="H42" s="33"/>
    </row>
    <row r="43" spans="2:13" ht="18.75" customHeight="1" thickTop="1" thickBot="1" x14ac:dyDescent="0.2">
      <c r="B43" s="132" t="s">
        <v>239</v>
      </c>
      <c r="C43" s="924"/>
      <c r="D43" s="925"/>
      <c r="E43" s="925"/>
      <c r="F43" s="926"/>
      <c r="G43" s="39"/>
      <c r="H43" s="488" t="s">
        <v>373</v>
      </c>
      <c r="I43" s="373" t="s">
        <v>307</v>
      </c>
      <c r="J43" s="373" t="s">
        <v>306</v>
      </c>
    </row>
    <row r="44" spans="2:13" ht="18.75" customHeight="1" thickTop="1" x14ac:dyDescent="0.15">
      <c r="B44" s="101" t="s">
        <v>34</v>
      </c>
      <c r="C44" s="202">
        <f>IFERROR(INDEX(阻害要因有無×年齢階層＿寛解・院内寛解[#All],MATCH($M10,阻害要因有無×年齢階層＿寛解・院内寛解[[#All],[行ラベル]],0),MATCH($N$3,阻害要因有無×年齢階層＿寛解・院内寛解[#Headers],0)),0)</f>
        <v>184</v>
      </c>
      <c r="D44" s="204">
        <f>IFERROR(C44/C$38,"-")</f>
        <v>0.71317829457364346</v>
      </c>
      <c r="E44" s="202">
        <f>IFERROR(INDEX(阻害要因有無×年齢階層＿寛解・院内寛解[#All],MATCH($M10,阻害要因有無×年齢階層＿寛解・院内寛解[[#All],[行ラベル]],0),MATCH($O$3,阻害要因有無×年齢階層＿寛解・院内寛解[#Headers],0)),0)</f>
        <v>304</v>
      </c>
      <c r="F44" s="204">
        <f>IFERROR(E44/E$38,"-")</f>
        <v>0.83287671232876714</v>
      </c>
      <c r="G44" s="39">
        <f>SUM(C44,E44)</f>
        <v>488</v>
      </c>
      <c r="H44" s="33">
        <v>91</v>
      </c>
      <c r="I44" s="59">
        <v>304</v>
      </c>
      <c r="J44" s="59">
        <v>184</v>
      </c>
    </row>
    <row r="45" spans="2:13" ht="18.75" customHeight="1" x14ac:dyDescent="0.15">
      <c r="B45" s="91" t="s">
        <v>35</v>
      </c>
      <c r="C45" s="205">
        <f>IFERROR(INDEX(阻害要因有無×年齢階層＿寛解・院内寛解[#All],MATCH($M11,阻害要因有無×年齢階層＿寛解・院内寛解[[#All],[行ラベル]],0),MATCH($N$3,阻害要因有無×年齢階層＿寛解・院内寛解[#Headers],0)),0)</f>
        <v>74</v>
      </c>
      <c r="D45" s="206">
        <f>IFERROR(C45/C$38,"-")</f>
        <v>0.2868217054263566</v>
      </c>
      <c r="E45" s="205">
        <f>IFERROR(INDEX(阻害要因有無×年齢階層＿寛解・院内寛解[#All],MATCH($M11,阻害要因有無×年齢階層＿寛解・院内寛解[[#All],[行ラベル]],0),MATCH($O$3,阻害要因有無×年齢階層＿寛解・院内寛解[#Headers],0)),0)</f>
        <v>61</v>
      </c>
      <c r="F45" s="206">
        <f>IFERROR(E45/E$38,"-")</f>
        <v>0.16712328767123288</v>
      </c>
      <c r="G45" s="39">
        <f t="shared" ref="G45" si="8">SUM(C45,E45)</f>
        <v>135</v>
      </c>
      <c r="H45" s="33">
        <v>90</v>
      </c>
      <c r="I45" s="59">
        <v>61</v>
      </c>
      <c r="J45" s="59">
        <v>74</v>
      </c>
    </row>
    <row r="46" spans="2:13" ht="18.75" customHeight="1" thickBot="1" x14ac:dyDescent="0.2">
      <c r="B46" s="102" t="s">
        <v>263</v>
      </c>
      <c r="C46" s="927"/>
      <c r="D46" s="928"/>
      <c r="E46" s="928"/>
      <c r="F46" s="929"/>
      <c r="G46" s="39"/>
    </row>
    <row r="47" spans="2:13" ht="21" customHeight="1" thickTop="1" thickBot="1" x14ac:dyDescent="0.2">
      <c r="B47" s="921" t="s">
        <v>274</v>
      </c>
      <c r="C47" s="922"/>
      <c r="D47" s="922"/>
      <c r="E47" s="922"/>
      <c r="F47" s="923"/>
      <c r="G47" s="39">
        <f t="shared" ref="G47:G63" si="9">SUM(C48,E48)</f>
        <v>131</v>
      </c>
      <c r="H47" s="488" t="s">
        <v>619</v>
      </c>
      <c r="I47" s="373" t="s">
        <v>307</v>
      </c>
      <c r="J47" s="373" t="s">
        <v>306</v>
      </c>
    </row>
    <row r="48" spans="2:13" ht="45" customHeight="1" thickTop="1" x14ac:dyDescent="0.15">
      <c r="B48" s="129" t="s">
        <v>235</v>
      </c>
      <c r="C48" s="205">
        <f>IFERROR(INDEX(阻害要因×年齢階層＿寛解・院内寛解[#All],MATCH($M14,阻害要因×年齢階層＿寛解・院内寛解[[#All],[値]],0),MATCH($N$3,阻害要因×年齢階層＿寛解・院内寛解[#Headers],0)),0)</f>
        <v>71</v>
      </c>
      <c r="D48" s="221">
        <f t="shared" ref="D48:D64" si="10">IFERROR(C48/C$44,"-")</f>
        <v>0.3858695652173913</v>
      </c>
      <c r="E48" s="220">
        <f>IFERROR(INDEX(阻害要因×年齢階層＿寛解・院内寛解[#All],MATCH($M14,阻害要因×年齢階層＿寛解・院内寛解[[#All],[値]],0),MATCH($O$3,阻害要因×年齢階層＿寛解・院内寛解[#Headers],0)),0)</f>
        <v>60</v>
      </c>
      <c r="F48" s="221">
        <f t="shared" ref="F48:F64" si="11">IFERROR(E48/E$44,"-")</f>
        <v>0.19736842105263158</v>
      </c>
      <c r="G48" s="39">
        <f t="shared" si="9"/>
        <v>103</v>
      </c>
      <c r="H48" s="55" t="s">
        <v>309</v>
      </c>
      <c r="I48" s="59">
        <v>60</v>
      </c>
      <c r="J48" s="59">
        <v>71</v>
      </c>
    </row>
    <row r="49" spans="2:10" ht="18.75" customHeight="1" x14ac:dyDescent="0.15">
      <c r="B49" s="130" t="s">
        <v>66</v>
      </c>
      <c r="C49" s="205">
        <f>IFERROR(INDEX(阻害要因×年齢階層＿寛解・院内寛解[#All],MATCH($M15,阻害要因×年齢階層＿寛解・院内寛解[[#All],[値]],0),MATCH($N$3,阻害要因×年齢階層＿寛解・院内寛解[#Headers],0)),0)</f>
        <v>45</v>
      </c>
      <c r="D49" s="222">
        <f t="shared" si="10"/>
        <v>0.24456521739130435</v>
      </c>
      <c r="E49" s="205">
        <f>IFERROR(INDEX(阻害要因×年齢階層＿寛解・院内寛解[#All],MATCH($M15,阻害要因×年齢階層＿寛解・院内寛解[[#All],[値]],0),MATCH($O$3,阻害要因×年齢階層＿寛解・院内寛解[#Headers],0)),0)</f>
        <v>58</v>
      </c>
      <c r="F49" s="222">
        <f t="shared" si="11"/>
        <v>0.19078947368421054</v>
      </c>
      <c r="G49" s="39">
        <f t="shared" si="9"/>
        <v>21</v>
      </c>
      <c r="H49" s="55" t="s">
        <v>310</v>
      </c>
      <c r="I49" s="59">
        <v>58</v>
      </c>
      <c r="J49" s="59">
        <v>45</v>
      </c>
    </row>
    <row r="50" spans="2:10" ht="18.75" customHeight="1" x14ac:dyDescent="0.15">
      <c r="B50" s="130" t="s">
        <v>38</v>
      </c>
      <c r="C50" s="205">
        <f>IFERROR(INDEX(阻害要因×年齢階層＿寛解・院内寛解[#All],MATCH($M16,阻害要因×年齢階層＿寛解・院内寛解[[#All],[値]],0),MATCH($N$3,阻害要因×年齢階層＿寛解・院内寛解[#Headers],0)),0)</f>
        <v>12</v>
      </c>
      <c r="D50" s="222">
        <f t="shared" si="10"/>
        <v>6.5217391304347824E-2</v>
      </c>
      <c r="E50" s="205">
        <f>IFERROR(INDEX(阻害要因×年齢階層＿寛解・院内寛解[#All],MATCH($M16,阻害要因×年齢階層＿寛解・院内寛解[[#All],[値]],0),MATCH($O$3,阻害要因×年齢階層＿寛解・院内寛解[#Headers],0)),0)</f>
        <v>9</v>
      </c>
      <c r="F50" s="222">
        <f t="shared" si="11"/>
        <v>2.9605263157894735E-2</v>
      </c>
      <c r="G50" s="39">
        <f t="shared" si="9"/>
        <v>180</v>
      </c>
      <c r="H50" s="55" t="s">
        <v>166</v>
      </c>
      <c r="I50" s="59">
        <v>9</v>
      </c>
      <c r="J50" s="59">
        <v>12</v>
      </c>
    </row>
    <row r="51" spans="2:10" ht="18.75" customHeight="1" x14ac:dyDescent="0.15">
      <c r="B51" s="130" t="s">
        <v>39</v>
      </c>
      <c r="C51" s="205">
        <f>IFERROR(INDEX(阻害要因×年齢階層＿寛解・院内寛解[#All],MATCH($M17,阻害要因×年齢階層＿寛解・院内寛解[[#All],[値]],0),MATCH($N$3,阻害要因×年齢階層＿寛解・院内寛解[#Headers],0)),0)</f>
        <v>55</v>
      </c>
      <c r="D51" s="222">
        <f t="shared" si="10"/>
        <v>0.29891304347826086</v>
      </c>
      <c r="E51" s="205">
        <f>IFERROR(INDEX(阻害要因×年齢階層＿寛解・院内寛解[#All],MATCH($M17,阻害要因×年齢階層＿寛解・院内寛解[[#All],[値]],0),MATCH($O$3,阻害要因×年齢階層＿寛解・院内寛解[#Headers],0)),0)</f>
        <v>125</v>
      </c>
      <c r="F51" s="222">
        <f t="shared" si="11"/>
        <v>0.41118421052631576</v>
      </c>
      <c r="G51" s="39">
        <f t="shared" si="9"/>
        <v>150</v>
      </c>
      <c r="H51" s="55" t="s">
        <v>167</v>
      </c>
      <c r="I51" s="59">
        <v>125</v>
      </c>
      <c r="J51" s="59">
        <v>55</v>
      </c>
    </row>
    <row r="52" spans="2:10" ht="18.75" customHeight="1" x14ac:dyDescent="0.15">
      <c r="B52" s="130" t="s">
        <v>40</v>
      </c>
      <c r="C52" s="205">
        <f>IFERROR(INDEX(阻害要因×年齢階層＿寛解・院内寛解[#All],MATCH($M18,阻害要因×年齢階層＿寛解・院内寛解[[#All],[値]],0),MATCH($N$3,阻害要因×年齢階層＿寛解・院内寛解[#Headers],0)),0)</f>
        <v>57</v>
      </c>
      <c r="D52" s="222">
        <f t="shared" si="10"/>
        <v>0.30978260869565216</v>
      </c>
      <c r="E52" s="205">
        <f>IFERROR(INDEX(阻害要因×年齢階層＿寛解・院内寛解[#All],MATCH($M18,阻害要因×年齢階層＿寛解・院内寛解[[#All],[値]],0),MATCH($O$3,阻害要因×年齢階層＿寛解・院内寛解[#Headers],0)),0)</f>
        <v>93</v>
      </c>
      <c r="F52" s="222">
        <f t="shared" si="11"/>
        <v>0.30592105263157893</v>
      </c>
      <c r="G52" s="39">
        <f t="shared" si="9"/>
        <v>129</v>
      </c>
      <c r="H52" s="55" t="s">
        <v>168</v>
      </c>
      <c r="I52" s="59">
        <v>93</v>
      </c>
      <c r="J52" s="59">
        <v>57</v>
      </c>
    </row>
    <row r="53" spans="2:10" ht="18.75" customHeight="1" x14ac:dyDescent="0.15">
      <c r="B53" s="130" t="s">
        <v>41</v>
      </c>
      <c r="C53" s="205">
        <f>IFERROR(INDEX(阻害要因×年齢階層＿寛解・院内寛解[#All],MATCH($M19,阻害要因×年齢階層＿寛解・院内寛解[[#All],[値]],0),MATCH($N$3,阻害要因×年齢階層＿寛解・院内寛解[#Headers],0)),0)</f>
        <v>53</v>
      </c>
      <c r="D53" s="222">
        <f t="shared" si="10"/>
        <v>0.28804347826086957</v>
      </c>
      <c r="E53" s="205">
        <f>IFERROR(INDEX(阻害要因×年齢階層＿寛解・院内寛解[#All],MATCH($M19,阻害要因×年齢階層＿寛解・院内寛解[[#All],[値]],0),MATCH($O$3,阻害要因×年齢階層＿寛解・院内寛解[#Headers],0)),0)</f>
        <v>76</v>
      </c>
      <c r="F53" s="222">
        <f t="shared" si="11"/>
        <v>0.25</v>
      </c>
      <c r="G53" s="39">
        <f t="shared" si="9"/>
        <v>38</v>
      </c>
      <c r="H53" s="55" t="s">
        <v>169</v>
      </c>
      <c r="I53" s="59">
        <v>76</v>
      </c>
      <c r="J53" s="59">
        <v>53</v>
      </c>
    </row>
    <row r="54" spans="2:10" ht="18.75" customHeight="1" x14ac:dyDescent="0.15">
      <c r="B54" s="130" t="s">
        <v>42</v>
      </c>
      <c r="C54" s="205">
        <f>IFERROR(INDEX(阻害要因×年齢階層＿寛解・院内寛解[#All],MATCH($M20,阻害要因×年齢階層＿寛解・院内寛解[[#All],[値]],0),MATCH($N$3,阻害要因×年齢階層＿寛解・院内寛解[#Headers],0)),0)</f>
        <v>20</v>
      </c>
      <c r="D54" s="222">
        <f t="shared" si="10"/>
        <v>0.10869565217391304</v>
      </c>
      <c r="E54" s="205">
        <f>IFERROR(INDEX(阻害要因×年齢階層＿寛解・院内寛解[#All],MATCH($M20,阻害要因×年齢階層＿寛解・院内寛解[[#All],[値]],0),MATCH($O$3,阻害要因×年齢階層＿寛解・院内寛解[#Headers],0)),0)</f>
        <v>18</v>
      </c>
      <c r="F54" s="222">
        <f t="shared" si="11"/>
        <v>5.921052631578947E-2</v>
      </c>
      <c r="G54" s="39">
        <f t="shared" si="9"/>
        <v>128</v>
      </c>
      <c r="H54" s="55" t="s">
        <v>170</v>
      </c>
      <c r="I54" s="59">
        <v>18</v>
      </c>
      <c r="J54" s="59">
        <v>20</v>
      </c>
    </row>
    <row r="55" spans="2:10" ht="18.75" customHeight="1" x14ac:dyDescent="0.15">
      <c r="B55" s="130" t="s">
        <v>43</v>
      </c>
      <c r="C55" s="205">
        <f>IFERROR(INDEX(阻害要因×年齢階層＿寛解・院内寛解[#All],MATCH($M21,阻害要因×年齢階層＿寛解・院内寛解[[#All],[値]],0),MATCH($N$3,阻害要因×年齢階層＿寛解・院内寛解[#Headers],0)),0)</f>
        <v>38</v>
      </c>
      <c r="D55" s="222">
        <f t="shared" si="10"/>
        <v>0.20652173913043478</v>
      </c>
      <c r="E55" s="205">
        <f>IFERROR(INDEX(阻害要因×年齢階層＿寛解・院内寛解[#All],MATCH($M21,阻害要因×年齢階層＿寛解・院内寛解[[#All],[値]],0),MATCH($O$3,阻害要因×年齢階層＿寛解・院内寛解[#Headers],0)),0)</f>
        <v>90</v>
      </c>
      <c r="F55" s="222">
        <f t="shared" si="11"/>
        <v>0.29605263157894735</v>
      </c>
      <c r="G55" s="39">
        <f t="shared" si="9"/>
        <v>71</v>
      </c>
      <c r="H55" s="55" t="s">
        <v>171</v>
      </c>
      <c r="I55" s="59">
        <v>90</v>
      </c>
      <c r="J55" s="59">
        <v>38</v>
      </c>
    </row>
    <row r="56" spans="2:10" ht="18.75" customHeight="1" x14ac:dyDescent="0.15">
      <c r="B56" s="130" t="s">
        <v>44</v>
      </c>
      <c r="C56" s="205">
        <f>IFERROR(INDEX(阻害要因×年齢階層＿寛解・院内寛解[#All],MATCH($M22,阻害要因×年齢階層＿寛解・院内寛解[[#All],[値]],0),MATCH($N$3,阻害要因×年齢階層＿寛解・院内寛解[#Headers],0)),0)</f>
        <v>23</v>
      </c>
      <c r="D56" s="222">
        <f t="shared" si="10"/>
        <v>0.125</v>
      </c>
      <c r="E56" s="205">
        <f>IFERROR(INDEX(阻害要因×年齢階層＿寛解・院内寛解[#All],MATCH($M22,阻害要因×年齢階層＿寛解・院内寛解[[#All],[値]],0),MATCH($O$3,阻害要因×年齢階層＿寛解・院内寛解[#Headers],0)),0)</f>
        <v>48</v>
      </c>
      <c r="F56" s="222">
        <f t="shared" si="11"/>
        <v>0.15789473684210525</v>
      </c>
      <c r="G56" s="39">
        <f t="shared" si="9"/>
        <v>118</v>
      </c>
      <c r="H56" s="55" t="s">
        <v>172</v>
      </c>
      <c r="I56" s="59">
        <v>48</v>
      </c>
      <c r="J56" s="59">
        <v>23</v>
      </c>
    </row>
    <row r="57" spans="2:10" ht="18.75" customHeight="1" x14ac:dyDescent="0.15">
      <c r="B57" s="130" t="s">
        <v>45</v>
      </c>
      <c r="C57" s="205">
        <f>IFERROR(INDEX(阻害要因×年齢階層＿寛解・院内寛解[#All],MATCH($M23,阻害要因×年齢階層＿寛解・院内寛解[[#All],[値]],0),MATCH($N$3,阻害要因×年齢階層＿寛解・院内寛解[#Headers],0)),0)</f>
        <v>42</v>
      </c>
      <c r="D57" s="222">
        <f t="shared" si="10"/>
        <v>0.22826086956521738</v>
      </c>
      <c r="E57" s="205">
        <f>IFERROR(INDEX(阻害要因×年齢階層＿寛解・院内寛解[#All],MATCH($M23,阻害要因×年齢階層＿寛解・院内寛解[[#All],[値]],0),MATCH($O$3,阻害要因×年齢階層＿寛解・院内寛解[#Headers],0)),0)</f>
        <v>76</v>
      </c>
      <c r="F57" s="222">
        <f t="shared" si="11"/>
        <v>0.25</v>
      </c>
      <c r="G57" s="39">
        <f t="shared" si="9"/>
        <v>146</v>
      </c>
      <c r="H57" s="55" t="s">
        <v>173</v>
      </c>
      <c r="I57" s="59">
        <v>76</v>
      </c>
      <c r="J57" s="59">
        <v>42</v>
      </c>
    </row>
    <row r="58" spans="2:10" ht="18.75" customHeight="1" x14ac:dyDescent="0.15">
      <c r="B58" s="130" t="s">
        <v>46</v>
      </c>
      <c r="C58" s="205">
        <f>IFERROR(INDEX(阻害要因×年齢階層＿寛解・院内寛解[#All],MATCH($M24,阻害要因×年齢階層＿寛解・院内寛解[[#All],[値]],0),MATCH($N$3,阻害要因×年齢階層＿寛解・院内寛解[#Headers],0)),0)</f>
        <v>54</v>
      </c>
      <c r="D58" s="222">
        <f t="shared" si="10"/>
        <v>0.29347826086956524</v>
      </c>
      <c r="E58" s="205">
        <f>IFERROR(INDEX(阻害要因×年齢階層＿寛解・院内寛解[#All],MATCH($M24,阻害要因×年齢階層＿寛解・院内寛解[[#All],[値]],0),MATCH($O$3,阻害要因×年齢階層＿寛解・院内寛解[#Headers],0)),0)</f>
        <v>92</v>
      </c>
      <c r="F58" s="222">
        <f t="shared" si="11"/>
        <v>0.30263157894736842</v>
      </c>
      <c r="G58" s="39">
        <f t="shared" si="9"/>
        <v>25</v>
      </c>
      <c r="H58" s="55" t="s">
        <v>174</v>
      </c>
      <c r="I58" s="59">
        <v>92</v>
      </c>
      <c r="J58" s="59">
        <v>54</v>
      </c>
    </row>
    <row r="59" spans="2:10" ht="18.75" customHeight="1" x14ac:dyDescent="0.15">
      <c r="B59" s="130" t="s">
        <v>47</v>
      </c>
      <c r="C59" s="205">
        <f>IFERROR(INDEX(阻害要因×年齢階層＿寛解・院内寛解[#All],MATCH($M25,阻害要因×年齢階層＿寛解・院内寛解[[#All],[値]],0),MATCH($N$3,阻害要因×年齢階層＿寛解・院内寛解[#Headers],0)),0)</f>
        <v>9</v>
      </c>
      <c r="D59" s="222">
        <f t="shared" si="10"/>
        <v>4.8913043478260872E-2</v>
      </c>
      <c r="E59" s="205">
        <f>IFERROR(INDEX(阻害要因×年齢階層＿寛解・院内寛解[#All],MATCH($M25,阻害要因×年齢階層＿寛解・院内寛解[[#All],[値]],0),MATCH($O$3,阻害要因×年齢階層＿寛解・院内寛解[#Headers],0)),0)</f>
        <v>16</v>
      </c>
      <c r="F59" s="222">
        <f t="shared" si="11"/>
        <v>5.2631578947368418E-2</v>
      </c>
      <c r="G59" s="39">
        <f t="shared" si="9"/>
        <v>23</v>
      </c>
      <c r="H59" s="55" t="s">
        <v>175</v>
      </c>
      <c r="I59" s="59">
        <v>16</v>
      </c>
      <c r="J59" s="59">
        <v>9</v>
      </c>
    </row>
    <row r="60" spans="2:10" ht="18.75" customHeight="1" x14ac:dyDescent="0.15">
      <c r="B60" s="130" t="s">
        <v>48</v>
      </c>
      <c r="C60" s="205">
        <f>IFERROR(INDEX(阻害要因×年齢階層＿寛解・院内寛解[#All],MATCH($M26,阻害要因×年齢階層＿寛解・院内寛解[[#All],[値]],0),MATCH($N$3,阻害要因×年齢階層＿寛解・院内寛解[#Headers],0)),0)</f>
        <v>11</v>
      </c>
      <c r="D60" s="222">
        <f t="shared" si="10"/>
        <v>5.9782608695652176E-2</v>
      </c>
      <c r="E60" s="205">
        <f>IFERROR(INDEX(阻害要因×年齢階層＿寛解・院内寛解[#All],MATCH($M26,阻害要因×年齢階層＿寛解・院内寛解[[#All],[値]],0),MATCH($O$3,阻害要因×年齢階層＿寛解・院内寛解[#Headers],0)),0)</f>
        <v>12</v>
      </c>
      <c r="F60" s="222">
        <f t="shared" si="11"/>
        <v>3.9473684210526314E-2</v>
      </c>
      <c r="G60" s="39">
        <f t="shared" si="9"/>
        <v>1</v>
      </c>
      <c r="H60" s="55" t="s">
        <v>176</v>
      </c>
      <c r="I60" s="59">
        <v>12</v>
      </c>
      <c r="J60" s="59">
        <v>11</v>
      </c>
    </row>
    <row r="61" spans="2:10" ht="18.75" customHeight="1" x14ac:dyDescent="0.15">
      <c r="B61" s="130" t="s">
        <v>49</v>
      </c>
      <c r="C61" s="205">
        <f>IFERROR(INDEX(阻害要因×年齢階層＿寛解・院内寛解[#All],MATCH($M27,阻害要因×年齢階層＿寛解・院内寛解[[#All],[値]],0),MATCH($N$3,阻害要因×年齢階層＿寛解・院内寛解[#Headers],0)),0)</f>
        <v>1</v>
      </c>
      <c r="D61" s="222">
        <f t="shared" si="10"/>
        <v>5.434782608695652E-3</v>
      </c>
      <c r="E61" s="205">
        <f>IFERROR(INDEX(阻害要因×年齢階層＿寛解・院内寛解[#All],MATCH($M27,阻害要因×年齢階層＿寛解・院内寛解[[#All],[値]],0),MATCH($O$3,阻害要因×年齢階層＿寛解・院内寛解[#Headers],0)),0)</f>
        <v>0</v>
      </c>
      <c r="F61" s="222">
        <f t="shared" si="11"/>
        <v>0</v>
      </c>
      <c r="G61" s="39">
        <f t="shared" si="9"/>
        <v>41</v>
      </c>
      <c r="H61" s="55" t="s">
        <v>177</v>
      </c>
      <c r="I61" s="59">
        <v>0</v>
      </c>
      <c r="J61" s="59">
        <v>1</v>
      </c>
    </row>
    <row r="62" spans="2:10" ht="18.75" customHeight="1" x14ac:dyDescent="0.15">
      <c r="B62" s="130" t="s">
        <v>50</v>
      </c>
      <c r="C62" s="205">
        <f>IFERROR(INDEX(阻害要因×年齢階層＿寛解・院内寛解[#All],MATCH($M28,阻害要因×年齢階層＿寛解・院内寛解[[#All],[値]],0),MATCH($N$3,阻害要因×年齢階層＿寛解・院内寛解[#Headers],0)),0)</f>
        <v>15</v>
      </c>
      <c r="D62" s="222">
        <f t="shared" si="10"/>
        <v>8.1521739130434784E-2</v>
      </c>
      <c r="E62" s="205">
        <f>IFERROR(INDEX(阻害要因×年齢階層＿寛解・院内寛解[#All],MATCH($M28,阻害要因×年齢階層＿寛解・院内寛解[[#All],[値]],0),MATCH($O$3,阻害要因×年齢階層＿寛解・院内寛解[#Headers],0)),0)</f>
        <v>26</v>
      </c>
      <c r="F62" s="222">
        <f t="shared" si="11"/>
        <v>8.5526315789473686E-2</v>
      </c>
      <c r="G62" s="39">
        <f t="shared" si="9"/>
        <v>43</v>
      </c>
      <c r="H62" s="55" t="s">
        <v>178</v>
      </c>
      <c r="I62" s="59">
        <v>26</v>
      </c>
      <c r="J62" s="59">
        <v>15</v>
      </c>
    </row>
    <row r="63" spans="2:10" ht="18.75" customHeight="1" x14ac:dyDescent="0.15">
      <c r="B63" s="130" t="s">
        <v>51</v>
      </c>
      <c r="C63" s="205">
        <f>IFERROR(INDEX(阻害要因×年齢階層＿寛解・院内寛解[#All],MATCH($M29,阻害要因×年齢階層＿寛解・院内寛解[[#All],[値]],0),MATCH($N$3,阻害要因×年齢階層＿寛解・院内寛解[#Headers],0)),0)</f>
        <v>18</v>
      </c>
      <c r="D63" s="222">
        <f t="shared" si="10"/>
        <v>9.7826086956521743E-2</v>
      </c>
      <c r="E63" s="205">
        <f>IFERROR(INDEX(阻害要因×年齢階層＿寛解・院内寛解[#All],MATCH($M29,阻害要因×年齢階層＿寛解・院内寛解[[#All],[値]],0),MATCH($O$3,阻害要因×年齢階層＿寛解・院内寛解[#Headers],0)),0)</f>
        <v>25</v>
      </c>
      <c r="F63" s="222">
        <f t="shared" si="11"/>
        <v>8.2236842105263164E-2</v>
      </c>
      <c r="G63" s="39">
        <f t="shared" si="9"/>
        <v>10</v>
      </c>
      <c r="H63" s="55" t="s">
        <v>179</v>
      </c>
      <c r="I63" s="59">
        <v>25</v>
      </c>
      <c r="J63" s="59">
        <v>18</v>
      </c>
    </row>
    <row r="64" spans="2:10" ht="18.75" customHeight="1" x14ac:dyDescent="0.15">
      <c r="B64" s="130" t="s">
        <v>52</v>
      </c>
      <c r="C64" s="205">
        <f>IFERROR(INDEX(阻害要因×年齢階層＿寛解・院内寛解[#All],MATCH($M30,阻害要因×年齢階層＿寛解・院内寛解[[#All],[値]],0),MATCH($N$3,阻害要因×年齢階層＿寛解・院内寛解[#Headers],0)),0)</f>
        <v>6</v>
      </c>
      <c r="D64" s="222">
        <f t="shared" si="10"/>
        <v>3.2608695652173912E-2</v>
      </c>
      <c r="E64" s="205">
        <f>IFERROR(INDEX(阻害要因×年齢階層＿寛解・院内寛解[#All],MATCH($M30,阻害要因×年齢階層＿寛解・院内寛解[[#All],[値]],0),MATCH($O$3,阻害要因×年齢階層＿寛解・院内寛解[#Headers],0)),0)</f>
        <v>4</v>
      </c>
      <c r="F64" s="222">
        <f t="shared" si="11"/>
        <v>1.3157894736842105E-2</v>
      </c>
      <c r="G64" s="39">
        <f>SUM(C67,E67)</f>
        <v>18</v>
      </c>
      <c r="H64" s="55" t="s">
        <v>180</v>
      </c>
      <c r="I64" s="59">
        <v>4</v>
      </c>
      <c r="J64" s="59">
        <v>6</v>
      </c>
    </row>
    <row r="65" spans="2:10" s="537" customFormat="1" ht="18.75" customHeight="1" x14ac:dyDescent="0.15">
      <c r="B65" s="539" t="s">
        <v>381</v>
      </c>
      <c r="C65" s="205">
        <f>IFERROR(INDEX(阻害要因×年齢階層＿寛解・院内寛解[#All],MATCH($M31,阻害要因×年齢階層＿寛解・院内寛解[[#All],[値]],0),MATCH($N$3,阻害要因×年齢階層＿寛解・院内寛解[#Headers],0)),0)</f>
        <v>7</v>
      </c>
      <c r="D65" s="222">
        <f t="shared" ref="D65:D67" si="12">IFERROR(C65/C$44,"-")</f>
        <v>3.8043478260869568E-2</v>
      </c>
      <c r="E65" s="205">
        <f>IFERROR(INDEX(阻害要因×年齢階層＿寛解・院内寛解[#All],MATCH($M31,阻害要因×年齢階層＿寛解・院内寛解[[#All],[値]],0),MATCH($O$3,阻害要因×年齢階層＿寛解・院内寛解[#Headers],0)),0)</f>
        <v>28</v>
      </c>
      <c r="F65" s="222">
        <f t="shared" ref="F65:F67" si="13">IFERROR(E65/E$44,"-")</f>
        <v>9.2105263157894732E-2</v>
      </c>
      <c r="G65" s="39">
        <f t="shared" ref="G65:G67" si="14">SUM(C68,E68)</f>
        <v>0</v>
      </c>
      <c r="H65" s="55" t="s">
        <v>383</v>
      </c>
      <c r="I65" s="59">
        <v>28</v>
      </c>
      <c r="J65" s="59">
        <v>7</v>
      </c>
    </row>
    <row r="66" spans="2:10" s="537" customFormat="1" ht="38.25" customHeight="1" x14ac:dyDescent="0.15">
      <c r="B66" s="687" t="s">
        <v>382</v>
      </c>
      <c r="C66" s="205">
        <f>IFERROR(INDEX(阻害要因×年齢階層＿寛解・院内寛解[#All],MATCH($M32,阻害要因×年齢階層＿寛解・院内寛解[[#All],[値]],0),MATCH($N$3,阻害要因×年齢階層＿寛解・院内寛解[#Headers],0)),0)</f>
        <v>6</v>
      </c>
      <c r="D66" s="222">
        <f t="shared" si="12"/>
        <v>3.2608695652173912E-2</v>
      </c>
      <c r="E66" s="205">
        <f>IFERROR(INDEX(阻害要因×年齢階層＿寛解・院内寛解[#All],MATCH($M32,阻害要因×年齢階層＿寛解・院内寛解[[#All],[値]],0),MATCH($O$3,阻害要因×年齢階層＿寛解・院内寛解[#Headers],0)),0)</f>
        <v>17</v>
      </c>
      <c r="F66" s="222">
        <f t="shared" si="13"/>
        <v>5.5921052631578948E-2</v>
      </c>
      <c r="G66" s="39">
        <f t="shared" si="14"/>
        <v>0</v>
      </c>
      <c r="H66" s="55" t="s">
        <v>384</v>
      </c>
      <c r="I66" s="59">
        <v>17</v>
      </c>
      <c r="J66" s="59">
        <v>6</v>
      </c>
    </row>
    <row r="67" spans="2:10" x14ac:dyDescent="0.15">
      <c r="B67" s="131" t="s">
        <v>53</v>
      </c>
      <c r="C67" s="208">
        <f>IFERROR(INDEX(阻害要因×年齢階層＿寛解・院内寛解[#All],MATCH($M33,阻害要因×年齢階層＿寛解・院内寛解[[#All],[値]],0),MATCH($N$3,阻害要因×年齢階層＿寛解・院内寛解[#Headers],0)),0)</f>
        <v>6</v>
      </c>
      <c r="D67" s="210">
        <f t="shared" si="12"/>
        <v>3.2608695652173912E-2</v>
      </c>
      <c r="E67" s="208">
        <f>IFERROR(INDEX(阻害要因×年齢階層＿寛解・院内寛解[#All],MATCH($M33,阻害要因×年齢階層＿寛解・院内寛解[[#All],[値]],0),MATCH($O$3,阻害要因×年齢階層＿寛解・院内寛解[#Headers],0)),0)</f>
        <v>12</v>
      </c>
      <c r="F67" s="210">
        <f t="shared" si="13"/>
        <v>3.9473684210526314E-2</v>
      </c>
      <c r="G67" s="39">
        <f t="shared" si="14"/>
        <v>0</v>
      </c>
      <c r="H67" s="55" t="s">
        <v>181</v>
      </c>
      <c r="I67" s="59">
        <v>12</v>
      </c>
      <c r="J67" s="59">
        <v>6</v>
      </c>
    </row>
  </sheetData>
  <mergeCells count="13">
    <mergeCell ref="B47:F47"/>
    <mergeCell ref="C43:F43"/>
    <mergeCell ref="C46:F46"/>
    <mergeCell ref="C12:F12"/>
    <mergeCell ref="B36:B37"/>
    <mergeCell ref="C36:F36"/>
    <mergeCell ref="C37:D37"/>
    <mergeCell ref="E37:F37"/>
    <mergeCell ref="B2:B3"/>
    <mergeCell ref="C2:F2"/>
    <mergeCell ref="C3:D3"/>
    <mergeCell ref="E3:F3"/>
    <mergeCell ref="B13:F13"/>
  </mergeCells>
  <phoneticPr fontId="2"/>
  <printOptions horizontalCentered="1"/>
  <pageMargins left="0.70866141732283472" right="0.70866141732283472" top="0.74803149606299213" bottom="0.74803149606299213" header="0.31496062992125984" footer="0.31496062992125984"/>
  <pageSetup paperSize="9" fitToHeight="0" orientation="portrait" r:id="rId1"/>
  <rowBreaks count="1" manualBreakCount="1">
    <brk id="34" min="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4" r:id="rId4" name="Button 2">
              <controlPr defaultSize="0" print="0" autoFill="0" autoPict="0" macro="[0]!データ削除_退院予定有無年齢階層">
                <anchor moveWithCells="1" sizeWithCells="1">
                  <from>
                    <xdr:col>10</xdr:col>
                    <xdr:colOff>133350</xdr:colOff>
                    <xdr:row>2</xdr:row>
                    <xdr:rowOff>9525</xdr:rowOff>
                  </from>
                  <to>
                    <xdr:col>12</xdr:col>
                    <xdr:colOff>9525</xdr:colOff>
                    <xdr:row>3</xdr:row>
                    <xdr:rowOff>285750</xdr:rowOff>
                  </to>
                </anchor>
              </controlPr>
            </control>
          </mc:Choice>
        </mc:AlternateContent>
      </controls>
    </mc:Choice>
  </mc:AlternateContent>
  <tableParts count="6">
    <tablePart r:id="rId5"/>
    <tablePart r:id="rId6"/>
    <tablePart r:id="rId7"/>
    <tablePart r:id="rId8"/>
    <tablePart r:id="rId9"/>
    <tablePart r:id="rId10"/>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6" tint="-0.249977111117893"/>
    <pageSetUpPr fitToPage="1"/>
  </sheetPr>
  <dimension ref="A1:T49"/>
  <sheetViews>
    <sheetView showGridLines="0" view="pageBreakPreview" zoomScaleNormal="100" zoomScaleSheetLayoutView="100" workbookViewId="0"/>
  </sheetViews>
  <sheetFormatPr defaultColWidth="13.75" defaultRowHeight="18.75" x14ac:dyDescent="0.15"/>
  <cols>
    <col min="1" max="1" width="14.75" style="1" customWidth="1"/>
    <col min="2" max="3" width="9.375" style="1" customWidth="1"/>
    <col min="4" max="4" width="4.125" style="1" customWidth="1"/>
    <col min="5" max="5" width="14.75" style="1" customWidth="1"/>
    <col min="6" max="9" width="9.375" style="1" customWidth="1"/>
    <col min="10" max="10" width="13.75" style="1"/>
    <col min="11" max="17" width="13.75" style="1" hidden="1" customWidth="1"/>
    <col min="18" max="19" width="13.75" style="1" customWidth="1"/>
    <col min="20" max="16384" width="13.75" style="1"/>
  </cols>
  <sheetData>
    <row r="1" spans="1:20" s="3" customFormat="1" ht="19.5" x14ac:dyDescent="0.15">
      <c r="A1" s="2" t="s">
        <v>112</v>
      </c>
    </row>
    <row r="2" spans="1:20" x14ac:dyDescent="0.15">
      <c r="A2" s="4"/>
      <c r="K2" s="55" t="s">
        <v>63</v>
      </c>
    </row>
    <row r="3" spans="1:20" s="3" customFormat="1" ht="20.25" thickBot="1" x14ac:dyDescent="0.2">
      <c r="A3" s="5" t="s">
        <v>13</v>
      </c>
      <c r="B3" s="6"/>
      <c r="C3" s="6"/>
      <c r="E3" s="5" t="s">
        <v>113</v>
      </c>
      <c r="F3" s="6"/>
      <c r="G3" s="6"/>
      <c r="H3" s="6"/>
      <c r="I3" s="6"/>
      <c r="K3" s="424" t="s">
        <v>298</v>
      </c>
      <c r="L3" s="692" t="s">
        <v>278</v>
      </c>
      <c r="N3" s="383" t="s">
        <v>298</v>
      </c>
      <c r="O3" s="480" t="s">
        <v>276</v>
      </c>
      <c r="P3" s="383" t="s">
        <v>298</v>
      </c>
      <c r="Q3" s="480" t="s">
        <v>277</v>
      </c>
    </row>
    <row r="4" spans="1:20" ht="18.75" customHeight="1" thickTop="1" thickBot="1" x14ac:dyDescent="0.2">
      <c r="A4" s="255"/>
      <c r="B4" s="255" t="s">
        <v>0</v>
      </c>
      <c r="C4" s="255" t="s">
        <v>1</v>
      </c>
      <c r="E4" s="255"/>
      <c r="F4" s="255" t="s">
        <v>115</v>
      </c>
      <c r="G4" s="255" t="s">
        <v>117</v>
      </c>
      <c r="H4" s="255" t="s">
        <v>12</v>
      </c>
      <c r="I4" s="255" t="s">
        <v>1</v>
      </c>
      <c r="K4" s="426" t="s">
        <v>373</v>
      </c>
      <c r="L4" s="431" t="s">
        <v>611</v>
      </c>
      <c r="M4" s="432"/>
      <c r="N4" s="426" t="s">
        <v>373</v>
      </c>
      <c r="O4" s="431" t="s">
        <v>611</v>
      </c>
      <c r="P4" s="426" t="s">
        <v>373</v>
      </c>
      <c r="Q4" s="431" t="s">
        <v>611</v>
      </c>
    </row>
    <row r="5" spans="1:20" ht="18.75" customHeight="1" thickTop="1" x14ac:dyDescent="0.15">
      <c r="A5" s="294" t="s">
        <v>2</v>
      </c>
      <c r="B5" s="295">
        <f>IFERROR(VLOOKUP($A5,年齢区分[#All],2,FALSE),0)</f>
        <v>156</v>
      </c>
      <c r="C5" s="296">
        <f>IFERROR(B5/B$14,"-")</f>
        <v>1.0405549626467449E-2</v>
      </c>
      <c r="E5" s="294" t="s">
        <v>2</v>
      </c>
      <c r="F5" s="295">
        <f>IFERROR(VLOOKUP($A5,年齢区分＿寛解[#All],2,FALSE),0)</f>
        <v>11</v>
      </c>
      <c r="G5" s="295">
        <f>IFERROR(VLOOKUP($A5,年齢区分＿院内寛解[#All],2,FALSE),0)</f>
        <v>26</v>
      </c>
      <c r="H5" s="256">
        <f>SUM(F5:G5)</f>
        <v>37</v>
      </c>
      <c r="I5" s="296">
        <f>IFERROR(H5/H$14,"-")</f>
        <v>2.2329511164755584E-2</v>
      </c>
      <c r="J5" s="9"/>
      <c r="K5" s="481" t="s">
        <v>2</v>
      </c>
      <c r="L5" s="396">
        <v>156</v>
      </c>
      <c r="M5" s="433"/>
      <c r="N5" s="481" t="s">
        <v>2</v>
      </c>
      <c r="O5" s="396">
        <v>11</v>
      </c>
      <c r="P5" s="481" t="s">
        <v>2</v>
      </c>
      <c r="Q5" s="396">
        <v>26</v>
      </c>
      <c r="R5" s="9"/>
      <c r="S5" s="9"/>
      <c r="T5" s="9"/>
    </row>
    <row r="6" spans="1:20" ht="18.75" customHeight="1" x14ac:dyDescent="0.15">
      <c r="A6" s="294" t="s">
        <v>3</v>
      </c>
      <c r="B6" s="295">
        <f>IFERROR(VLOOKUP($A6,年齢区分[#All],2,FALSE),0)</f>
        <v>330</v>
      </c>
      <c r="C6" s="296">
        <f>IFERROR(B6/B$14,"-")</f>
        <v>2.2011739594450373E-2</v>
      </c>
      <c r="E6" s="294" t="s">
        <v>3</v>
      </c>
      <c r="F6" s="295">
        <f>IFERROR(VLOOKUP($A6,年齢区分＿寛解[#All],2,FALSE),0)</f>
        <v>28</v>
      </c>
      <c r="G6" s="295">
        <f>IFERROR(VLOOKUP($A6,年齢区分＿院内寛解[#All],2,FALSE),0)</f>
        <v>29</v>
      </c>
      <c r="H6" s="256">
        <f t="shared" ref="H6:H16" si="0">SUM(F6:G6)</f>
        <v>57</v>
      </c>
      <c r="I6" s="296">
        <f t="shared" ref="I6:I13" si="1">IFERROR(H6/H$14,"-")</f>
        <v>3.4399517199758603E-2</v>
      </c>
      <c r="J6" s="12"/>
      <c r="K6" s="427" t="s">
        <v>3</v>
      </c>
      <c r="L6" s="396">
        <v>330</v>
      </c>
      <c r="M6" s="434"/>
      <c r="N6" s="427" t="s">
        <v>3</v>
      </c>
      <c r="O6" s="396">
        <v>28</v>
      </c>
      <c r="P6" s="427" t="s">
        <v>3</v>
      </c>
      <c r="Q6" s="396">
        <v>29</v>
      </c>
      <c r="R6" s="9"/>
      <c r="S6" s="9"/>
      <c r="T6" s="9"/>
    </row>
    <row r="7" spans="1:20" ht="18.75" customHeight="1" x14ac:dyDescent="0.15">
      <c r="A7" s="294" t="s">
        <v>4</v>
      </c>
      <c r="B7" s="295">
        <f>IFERROR(VLOOKUP($A7,年齢区分[#All],2,FALSE),0)</f>
        <v>557</v>
      </c>
      <c r="C7" s="296">
        <f t="shared" ref="C7:C13" si="2">IFERROR(B7/B$14,"-")</f>
        <v>3.7153148345784419E-2</v>
      </c>
      <c r="E7" s="294" t="s">
        <v>4</v>
      </c>
      <c r="F7" s="295">
        <f>IFERROR(VLOOKUP($A7,年齢区分＿寛解[#All],2,FALSE),0)</f>
        <v>21</v>
      </c>
      <c r="G7" s="295">
        <f>IFERROR(VLOOKUP($A7,年齢区分＿院内寛解[#All],2,FALSE),0)</f>
        <v>74</v>
      </c>
      <c r="H7" s="256">
        <f t="shared" si="0"/>
        <v>95</v>
      </c>
      <c r="I7" s="296">
        <f t="shared" si="1"/>
        <v>5.7332528666264336E-2</v>
      </c>
      <c r="J7" s="12"/>
      <c r="K7" s="427" t="s">
        <v>4</v>
      </c>
      <c r="L7" s="396">
        <v>557</v>
      </c>
      <c r="M7" s="434"/>
      <c r="N7" s="427" t="s">
        <v>4</v>
      </c>
      <c r="O7" s="396">
        <v>21</v>
      </c>
      <c r="P7" s="427" t="s">
        <v>4</v>
      </c>
      <c r="Q7" s="396">
        <v>74</v>
      </c>
      <c r="R7" s="9"/>
      <c r="S7" s="9"/>
      <c r="T7" s="9"/>
    </row>
    <row r="8" spans="1:20" ht="18.75" customHeight="1" x14ac:dyDescent="0.15">
      <c r="A8" s="294" t="s">
        <v>5</v>
      </c>
      <c r="B8" s="295">
        <f>IFERROR(VLOOKUP($A8,年齢区分[#All],2,FALSE),0)</f>
        <v>1258</v>
      </c>
      <c r="C8" s="296">
        <f t="shared" si="2"/>
        <v>8.3911419423692638E-2</v>
      </c>
      <c r="E8" s="294" t="s">
        <v>5</v>
      </c>
      <c r="F8" s="295">
        <f>IFERROR(VLOOKUP($A8,年齢区分＿寛解[#All],2,FALSE),0)</f>
        <v>52</v>
      </c>
      <c r="G8" s="295">
        <f>IFERROR(VLOOKUP($A8,年齢区分＿院内寛解[#All],2,FALSE),0)</f>
        <v>147</v>
      </c>
      <c r="H8" s="256">
        <f t="shared" si="0"/>
        <v>199</v>
      </c>
      <c r="I8" s="296">
        <f t="shared" si="1"/>
        <v>0.12009656004828002</v>
      </c>
      <c r="J8" s="9"/>
      <c r="K8" s="427" t="s">
        <v>5</v>
      </c>
      <c r="L8" s="396">
        <v>1258</v>
      </c>
      <c r="M8" s="435"/>
      <c r="N8" s="427" t="s">
        <v>5</v>
      </c>
      <c r="O8" s="396">
        <v>52</v>
      </c>
      <c r="P8" s="427" t="s">
        <v>5</v>
      </c>
      <c r="Q8" s="396">
        <v>147</v>
      </c>
      <c r="R8" s="9"/>
      <c r="S8" s="9"/>
      <c r="T8" s="9"/>
    </row>
    <row r="9" spans="1:20" ht="18.75" customHeight="1" x14ac:dyDescent="0.15">
      <c r="A9" s="294" t="s">
        <v>6</v>
      </c>
      <c r="B9" s="295">
        <f>IFERROR(VLOOKUP($A9,年齢区分[#All],2,FALSE),0)</f>
        <v>2400</v>
      </c>
      <c r="C9" s="296">
        <f t="shared" si="2"/>
        <v>0.16008537886872998</v>
      </c>
      <c r="E9" s="294" t="s">
        <v>6</v>
      </c>
      <c r="F9" s="295">
        <f>IFERROR(VLOOKUP($A9,年齢区分＿寛解[#All],2,FALSE),0)</f>
        <v>70</v>
      </c>
      <c r="G9" s="295">
        <f>IFERROR(VLOOKUP($A9,年齢区分＿院内寛解[#All],2,FALSE),0)</f>
        <v>232</v>
      </c>
      <c r="H9" s="256">
        <f t="shared" si="0"/>
        <v>302</v>
      </c>
      <c r="I9" s="296">
        <f t="shared" si="1"/>
        <v>0.18225709112854557</v>
      </c>
      <c r="J9" s="9"/>
      <c r="K9" s="427" t="s">
        <v>6</v>
      </c>
      <c r="L9" s="396">
        <v>2400</v>
      </c>
      <c r="M9" s="435"/>
      <c r="N9" s="427" t="s">
        <v>6</v>
      </c>
      <c r="O9" s="396">
        <v>70</v>
      </c>
      <c r="P9" s="427" t="s">
        <v>6</v>
      </c>
      <c r="Q9" s="396">
        <v>232</v>
      </c>
      <c r="R9" s="9"/>
      <c r="S9" s="9"/>
      <c r="T9" s="9"/>
    </row>
    <row r="10" spans="1:20" ht="18.75" customHeight="1" x14ac:dyDescent="0.15">
      <c r="A10" s="294" t="s">
        <v>7</v>
      </c>
      <c r="B10" s="295">
        <f>IFERROR(VLOOKUP($A10,年齢区分[#All],2,FALSE),0)</f>
        <v>2511</v>
      </c>
      <c r="C10" s="296">
        <f t="shared" si="2"/>
        <v>0.16748932764140875</v>
      </c>
      <c r="E10" s="294" t="s">
        <v>7</v>
      </c>
      <c r="F10" s="295">
        <f>IFERROR(VLOOKUP($A10,年齢区分＿寛解[#All],2,FALSE),0)</f>
        <v>55</v>
      </c>
      <c r="G10" s="295">
        <f>IFERROR(VLOOKUP($A10,年齢区分＿院内寛解[#All],2,FALSE),0)</f>
        <v>213</v>
      </c>
      <c r="H10" s="256">
        <f t="shared" si="0"/>
        <v>268</v>
      </c>
      <c r="I10" s="296">
        <f t="shared" si="1"/>
        <v>0.16173808086904043</v>
      </c>
      <c r="J10" s="9"/>
      <c r="K10" s="427" t="s">
        <v>7</v>
      </c>
      <c r="L10" s="396">
        <v>2511</v>
      </c>
      <c r="M10" s="435"/>
      <c r="N10" s="427" t="s">
        <v>7</v>
      </c>
      <c r="O10" s="396">
        <v>55</v>
      </c>
      <c r="P10" s="427" t="s">
        <v>7</v>
      </c>
      <c r="Q10" s="396">
        <v>213</v>
      </c>
      <c r="R10" s="9"/>
      <c r="S10" s="9"/>
      <c r="T10" s="9"/>
    </row>
    <row r="11" spans="1:20" ht="18.75" customHeight="1" x14ac:dyDescent="0.15">
      <c r="A11" s="294" t="s">
        <v>8</v>
      </c>
      <c r="B11" s="295">
        <f>IFERROR(VLOOKUP($A11,年齢区分[#All],2,FALSE),0)</f>
        <v>3728</v>
      </c>
      <c r="C11" s="296">
        <f t="shared" si="2"/>
        <v>0.24866595517609391</v>
      </c>
      <c r="E11" s="294" t="s">
        <v>8</v>
      </c>
      <c r="F11" s="295">
        <f>IFERROR(VLOOKUP($A11,年齢区分＿寛解[#All],2,FALSE),0)</f>
        <v>72</v>
      </c>
      <c r="G11" s="295">
        <f>IFERROR(VLOOKUP($A11,年齢区分＿院内寛解[#All],2,FALSE),0)</f>
        <v>288</v>
      </c>
      <c r="H11" s="256">
        <f t="shared" si="0"/>
        <v>360</v>
      </c>
      <c r="I11" s="296">
        <f t="shared" si="1"/>
        <v>0.21726010863005432</v>
      </c>
      <c r="J11" s="9"/>
      <c r="K11" s="427" t="s">
        <v>8</v>
      </c>
      <c r="L11" s="396">
        <v>3728</v>
      </c>
      <c r="M11" s="435"/>
      <c r="N11" s="427" t="s">
        <v>8</v>
      </c>
      <c r="O11" s="396">
        <v>72</v>
      </c>
      <c r="P11" s="427" t="s">
        <v>8</v>
      </c>
      <c r="Q11" s="396">
        <v>288</v>
      </c>
      <c r="R11" s="9"/>
      <c r="S11" s="9"/>
      <c r="T11" s="9"/>
    </row>
    <row r="12" spans="1:20" ht="18.75" customHeight="1" x14ac:dyDescent="0.15">
      <c r="A12" s="294" t="s">
        <v>9</v>
      </c>
      <c r="B12" s="295">
        <f>IFERROR(VLOOKUP($A12,年齢区分[#All],2,FALSE),0)</f>
        <v>3314</v>
      </c>
      <c r="C12" s="296">
        <f t="shared" si="2"/>
        <v>0.221051227321238</v>
      </c>
      <c r="E12" s="294" t="s">
        <v>9</v>
      </c>
      <c r="F12" s="295">
        <f>IFERROR(VLOOKUP($A12,年齢区分＿寛解[#All],2,FALSE),0)</f>
        <v>59</v>
      </c>
      <c r="G12" s="295">
        <f>IFERROR(VLOOKUP($A12,年齢区分＿院内寛解[#All],2,FALSE),0)</f>
        <v>229</v>
      </c>
      <c r="H12" s="256">
        <f t="shared" si="0"/>
        <v>288</v>
      </c>
      <c r="I12" s="296">
        <f t="shared" si="1"/>
        <v>0.17380808690404345</v>
      </c>
      <c r="J12" s="9"/>
      <c r="K12" s="427" t="s">
        <v>9</v>
      </c>
      <c r="L12" s="396">
        <v>3314</v>
      </c>
      <c r="M12" s="435"/>
      <c r="N12" s="427" t="s">
        <v>9</v>
      </c>
      <c r="O12" s="396">
        <v>59</v>
      </c>
      <c r="P12" s="427" t="s">
        <v>9</v>
      </c>
      <c r="Q12" s="396">
        <v>229</v>
      </c>
      <c r="R12" s="9"/>
      <c r="S12" s="9"/>
      <c r="T12" s="9"/>
    </row>
    <row r="13" spans="1:20" ht="18.75" customHeight="1" x14ac:dyDescent="0.15">
      <c r="A13" s="294" t="s">
        <v>10</v>
      </c>
      <c r="B13" s="295">
        <f>IFERROR(VLOOKUP($A13,年齢区分[#All],2,FALSE),0)</f>
        <v>738</v>
      </c>
      <c r="C13" s="296">
        <f t="shared" si="2"/>
        <v>4.922625400213447E-2</v>
      </c>
      <c r="E13" s="294" t="s">
        <v>10</v>
      </c>
      <c r="F13" s="295">
        <f>IFERROR(VLOOKUP($A13,年齢区分＿寛解[#All],2,FALSE),0)</f>
        <v>11</v>
      </c>
      <c r="G13" s="295">
        <f>IFERROR(VLOOKUP($A13,年齢区分＿院内寛解[#All],2,FALSE),0)</f>
        <v>40</v>
      </c>
      <c r="H13" s="256">
        <f t="shared" si="0"/>
        <v>51</v>
      </c>
      <c r="I13" s="296">
        <f t="shared" si="1"/>
        <v>3.0778515389257695E-2</v>
      </c>
      <c r="J13" s="9"/>
      <c r="K13" s="427" t="s">
        <v>10</v>
      </c>
      <c r="L13" s="396">
        <v>738</v>
      </c>
      <c r="M13" s="435"/>
      <c r="N13" s="427" t="s">
        <v>10</v>
      </c>
      <c r="O13" s="396">
        <v>11</v>
      </c>
      <c r="P13" s="427" t="s">
        <v>10</v>
      </c>
      <c r="Q13" s="396">
        <v>40</v>
      </c>
      <c r="R13" s="9"/>
      <c r="S13" s="9"/>
      <c r="T13" s="9"/>
    </row>
    <row r="14" spans="1:20" ht="18.75" customHeight="1" thickBot="1" x14ac:dyDescent="0.2">
      <c r="A14" s="297" t="s">
        <v>262</v>
      </c>
      <c r="B14" s="259">
        <f t="shared" ref="B14" si="3">SUM(B5:B13)</f>
        <v>14992</v>
      </c>
      <c r="C14" s="260">
        <f>SUM(C5:C13)</f>
        <v>1</v>
      </c>
      <c r="E14" s="297" t="s">
        <v>11</v>
      </c>
      <c r="F14" s="259">
        <f t="shared" ref="F14:G14" si="4">SUM(F5:F13)</f>
        <v>379</v>
      </c>
      <c r="G14" s="259">
        <f t="shared" si="4"/>
        <v>1278</v>
      </c>
      <c r="H14" s="259">
        <f>SUM(H5:H13)</f>
        <v>1657</v>
      </c>
      <c r="I14" s="260">
        <f>SUM(I5:I13)</f>
        <v>1</v>
      </c>
      <c r="J14" s="9"/>
      <c r="K14" s="428"/>
      <c r="L14" s="429"/>
      <c r="M14" s="435"/>
      <c r="N14" s="428"/>
      <c r="O14" s="429"/>
      <c r="P14" s="428"/>
      <c r="Q14" s="429"/>
      <c r="R14" s="9"/>
      <c r="S14" s="9"/>
      <c r="T14" s="9"/>
    </row>
    <row r="15" spans="1:20" ht="18.75" customHeight="1" thickTop="1" thickBot="1" x14ac:dyDescent="0.2">
      <c r="A15" s="374" t="s">
        <v>90</v>
      </c>
      <c r="B15" s="299">
        <f>B14-B16</f>
        <v>5935</v>
      </c>
      <c r="C15" s="458">
        <f>IFERROR(B15/B$14,"-")</f>
        <v>0.39587780149413021</v>
      </c>
      <c r="D15" s="21"/>
      <c r="E15" s="374" t="s">
        <v>90</v>
      </c>
      <c r="F15" s="299">
        <f>F14-F16</f>
        <v>207</v>
      </c>
      <c r="G15" s="299">
        <f>G14-G16</f>
        <v>616</v>
      </c>
      <c r="H15" s="256">
        <f t="shared" si="0"/>
        <v>823</v>
      </c>
      <c r="I15" s="458">
        <f>IFERROR(H15/H$14,"-")</f>
        <v>0.49668074834037418</v>
      </c>
      <c r="J15" s="9"/>
      <c r="K15" s="430" t="s">
        <v>89</v>
      </c>
      <c r="L15" s="722">
        <v>9057</v>
      </c>
      <c r="M15" s="436"/>
      <c r="N15" s="430" t="s">
        <v>89</v>
      </c>
      <c r="O15" s="490">
        <v>172</v>
      </c>
      <c r="P15" s="430" t="s">
        <v>89</v>
      </c>
      <c r="Q15" s="490">
        <v>662</v>
      </c>
      <c r="R15" s="9"/>
      <c r="S15" s="9"/>
      <c r="T15" s="9"/>
    </row>
    <row r="16" spans="1:20" ht="18.75" customHeight="1" thickTop="1" x14ac:dyDescent="0.15">
      <c r="A16" s="374" t="s">
        <v>89</v>
      </c>
      <c r="B16" s="299">
        <f>L15</f>
        <v>9057</v>
      </c>
      <c r="C16" s="458">
        <f>IFERROR(B16/B$14,"-")</f>
        <v>0.60412219850586979</v>
      </c>
      <c r="D16" s="21"/>
      <c r="E16" s="374" t="s">
        <v>89</v>
      </c>
      <c r="F16" s="295">
        <f>O15</f>
        <v>172</v>
      </c>
      <c r="G16" s="295">
        <f>Q15</f>
        <v>662</v>
      </c>
      <c r="H16" s="295">
        <f t="shared" si="0"/>
        <v>834</v>
      </c>
      <c r="I16" s="458">
        <f>IFERROR(H16/H$14,"-")</f>
        <v>0.50331925165962588</v>
      </c>
      <c r="J16" s="9"/>
      <c r="K16" s="9"/>
      <c r="L16" s="24"/>
      <c r="M16" s="24"/>
      <c r="N16" s="19"/>
      <c r="O16" s="9"/>
      <c r="P16" s="9"/>
      <c r="Q16" s="9"/>
      <c r="R16" s="9"/>
      <c r="S16" s="9"/>
      <c r="T16" s="9"/>
    </row>
    <row r="17" spans="4:20" x14ac:dyDescent="0.15">
      <c r="D17" s="21"/>
      <c r="H17" s="21"/>
      <c r="J17" s="9"/>
      <c r="K17" s="15"/>
      <c r="L17" s="9"/>
      <c r="M17" s="9"/>
      <c r="N17" s="19"/>
      <c r="O17" s="9"/>
      <c r="P17" s="9"/>
      <c r="Q17" s="9"/>
      <c r="R17" s="9"/>
      <c r="S17" s="9"/>
      <c r="T17" s="9"/>
    </row>
    <row r="18" spans="4:20" ht="28.5" customHeight="1" x14ac:dyDescent="0.15">
      <c r="J18" s="9"/>
      <c r="K18" s="10"/>
      <c r="L18" s="11"/>
      <c r="M18" s="11"/>
      <c r="N18" s="25"/>
      <c r="O18" s="11"/>
      <c r="P18" s="11"/>
      <c r="Q18" s="11"/>
      <c r="R18" s="9"/>
      <c r="S18" s="9"/>
      <c r="T18" s="9"/>
    </row>
    <row r="19" spans="4:20" x14ac:dyDescent="0.15">
      <c r="J19" s="9"/>
      <c r="K19" s="26"/>
      <c r="L19" s="13"/>
      <c r="M19" s="14"/>
      <c r="N19" s="27"/>
      <c r="O19" s="13"/>
      <c r="P19" s="13"/>
      <c r="Q19" s="14"/>
      <c r="R19" s="12"/>
      <c r="S19" s="9"/>
      <c r="T19" s="9"/>
    </row>
    <row r="20" spans="4:20" x14ac:dyDescent="0.15">
      <c r="J20" s="9"/>
      <c r="K20" s="26"/>
      <c r="L20" s="13"/>
      <c r="M20" s="14"/>
      <c r="N20" s="26"/>
      <c r="O20" s="13"/>
      <c r="P20" s="13"/>
      <c r="Q20" s="14"/>
      <c r="R20" s="12"/>
      <c r="S20" s="9"/>
      <c r="T20" s="9"/>
    </row>
    <row r="21" spans="4:20" x14ac:dyDescent="0.15">
      <c r="J21" s="9"/>
      <c r="K21" s="15"/>
      <c r="L21" s="16"/>
      <c r="M21" s="17"/>
      <c r="N21" s="15"/>
      <c r="O21" s="16"/>
      <c r="P21" s="16"/>
      <c r="Q21" s="17"/>
      <c r="R21" s="9"/>
      <c r="S21" s="9"/>
      <c r="T21" s="9"/>
    </row>
    <row r="22" spans="4:20" x14ac:dyDescent="0.15">
      <c r="J22" s="9"/>
      <c r="K22" s="15"/>
      <c r="L22" s="16"/>
      <c r="M22" s="17"/>
      <c r="N22" s="15"/>
      <c r="O22" s="16"/>
      <c r="P22" s="16"/>
      <c r="Q22" s="17"/>
      <c r="R22" s="9"/>
      <c r="S22" s="9"/>
      <c r="T22" s="9"/>
    </row>
    <row r="23" spans="4:20" x14ac:dyDescent="0.15">
      <c r="J23" s="9"/>
      <c r="K23" s="15"/>
      <c r="L23" s="16"/>
      <c r="M23" s="17"/>
      <c r="N23" s="15"/>
      <c r="O23" s="16"/>
      <c r="P23" s="16"/>
      <c r="Q23" s="17"/>
      <c r="R23" s="9"/>
      <c r="S23" s="9"/>
      <c r="T23" s="9"/>
    </row>
    <row r="24" spans="4:20" x14ac:dyDescent="0.15">
      <c r="J24" s="9"/>
      <c r="K24" s="15"/>
      <c r="L24" s="16"/>
      <c r="M24" s="17"/>
      <c r="N24" s="15"/>
      <c r="O24" s="16"/>
      <c r="P24" s="16"/>
      <c r="Q24" s="17"/>
      <c r="R24" s="9"/>
      <c r="S24" s="9"/>
      <c r="T24" s="9"/>
    </row>
    <row r="25" spans="4:20" x14ac:dyDescent="0.15">
      <c r="J25" s="9"/>
      <c r="K25" s="15"/>
      <c r="L25" s="16"/>
      <c r="M25" s="17"/>
      <c r="N25" s="15"/>
      <c r="O25" s="16"/>
      <c r="P25" s="16"/>
      <c r="Q25" s="17"/>
      <c r="R25" s="9"/>
      <c r="S25" s="9"/>
      <c r="T25" s="9"/>
    </row>
    <row r="26" spans="4:20" x14ac:dyDescent="0.15">
      <c r="J26" s="9"/>
      <c r="K26" s="15"/>
      <c r="L26" s="16"/>
      <c r="M26" s="17"/>
      <c r="N26" s="15"/>
      <c r="O26" s="16"/>
      <c r="P26" s="16"/>
      <c r="Q26" s="17"/>
      <c r="R26" s="9"/>
      <c r="S26" s="9"/>
      <c r="T26" s="9"/>
    </row>
    <row r="27" spans="4:20" x14ac:dyDescent="0.15">
      <c r="J27" s="12"/>
      <c r="K27" s="26"/>
      <c r="L27" s="13"/>
      <c r="M27" s="14"/>
      <c r="N27" s="26"/>
      <c r="O27" s="13"/>
      <c r="P27" s="13"/>
      <c r="Q27" s="14"/>
      <c r="R27" s="12"/>
      <c r="S27" s="12"/>
      <c r="T27" s="12"/>
    </row>
    <row r="28" spans="4:20" x14ac:dyDescent="0.15">
      <c r="J28" s="12"/>
      <c r="K28" s="28"/>
      <c r="L28" s="29"/>
      <c r="M28" s="30"/>
      <c r="N28" s="28"/>
      <c r="O28" s="29"/>
      <c r="P28" s="29"/>
      <c r="Q28" s="30"/>
      <c r="R28" s="12"/>
      <c r="S28" s="12"/>
      <c r="T28" s="12"/>
    </row>
    <row r="29" spans="4:20" x14ac:dyDescent="0.15">
      <c r="J29" s="12"/>
      <c r="K29" s="12"/>
      <c r="L29" s="12"/>
      <c r="M29" s="12"/>
      <c r="N29" s="26"/>
      <c r="O29" s="12"/>
      <c r="P29" s="12"/>
      <c r="Q29" s="12"/>
      <c r="R29" s="12"/>
      <c r="S29" s="12"/>
      <c r="T29" s="12"/>
    </row>
    <row r="30" spans="4:20" x14ac:dyDescent="0.15">
      <c r="J30" s="12"/>
      <c r="K30" s="12"/>
      <c r="L30" s="12"/>
      <c r="M30" s="12"/>
      <c r="N30" s="10"/>
      <c r="O30" s="11"/>
      <c r="P30" s="11"/>
      <c r="Q30" s="11"/>
      <c r="R30" s="12"/>
      <c r="S30" s="12"/>
      <c r="T30" s="12"/>
    </row>
    <row r="31" spans="4:20" x14ac:dyDescent="0.15">
      <c r="J31" s="12"/>
      <c r="K31" s="12"/>
      <c r="L31" s="12"/>
      <c r="M31" s="12"/>
      <c r="N31" s="26"/>
      <c r="O31" s="13"/>
      <c r="P31" s="13"/>
      <c r="Q31" s="14"/>
      <c r="R31" s="12"/>
      <c r="S31" s="12"/>
      <c r="T31" s="12"/>
    </row>
    <row r="32" spans="4:20" x14ac:dyDescent="0.15">
      <c r="J32" s="12"/>
      <c r="K32" s="12"/>
      <c r="L32" s="12"/>
      <c r="M32" s="12"/>
      <c r="N32" s="26"/>
      <c r="O32" s="13"/>
      <c r="P32" s="13"/>
      <c r="Q32" s="14"/>
      <c r="R32" s="12"/>
      <c r="S32" s="12"/>
      <c r="T32" s="12"/>
    </row>
    <row r="33" spans="10:20" x14ac:dyDescent="0.15">
      <c r="J33" s="12"/>
      <c r="K33" s="12"/>
      <c r="L33" s="12"/>
      <c r="M33" s="12"/>
      <c r="N33" s="26"/>
      <c r="O33" s="13"/>
      <c r="P33" s="13"/>
      <c r="Q33" s="14"/>
      <c r="R33" s="12"/>
      <c r="S33" s="12"/>
      <c r="T33" s="12"/>
    </row>
    <row r="34" spans="10:20" x14ac:dyDescent="0.15">
      <c r="J34" s="12"/>
      <c r="K34" s="12"/>
      <c r="L34" s="12"/>
      <c r="M34" s="12"/>
      <c r="N34" s="26"/>
      <c r="O34" s="13"/>
      <c r="P34" s="13"/>
      <c r="Q34" s="14"/>
      <c r="R34" s="12"/>
      <c r="S34" s="12"/>
      <c r="T34" s="12"/>
    </row>
    <row r="35" spans="10:20" x14ac:dyDescent="0.15">
      <c r="J35" s="9"/>
      <c r="K35" s="9"/>
      <c r="L35" s="9"/>
      <c r="M35" s="9"/>
      <c r="N35" s="15"/>
      <c r="O35" s="16"/>
      <c r="P35" s="16"/>
      <c r="Q35" s="17"/>
      <c r="R35" s="9"/>
      <c r="S35" s="9"/>
      <c r="T35" s="9"/>
    </row>
    <row r="36" spans="10:20" x14ac:dyDescent="0.15">
      <c r="J36" s="9"/>
      <c r="K36" s="9"/>
      <c r="L36" s="9"/>
      <c r="M36" s="9"/>
      <c r="N36" s="15"/>
      <c r="O36" s="16"/>
      <c r="P36" s="16"/>
      <c r="Q36" s="17"/>
      <c r="R36" s="9"/>
      <c r="S36" s="9"/>
      <c r="T36" s="9"/>
    </row>
    <row r="37" spans="10:20" x14ac:dyDescent="0.15">
      <c r="J37" s="9"/>
      <c r="K37" s="9"/>
      <c r="L37" s="9"/>
      <c r="M37" s="9"/>
      <c r="N37" s="15"/>
      <c r="O37" s="16"/>
      <c r="P37" s="16"/>
      <c r="Q37" s="17"/>
      <c r="R37" s="9"/>
      <c r="S37" s="9"/>
      <c r="T37" s="9"/>
    </row>
    <row r="38" spans="10:20" x14ac:dyDescent="0.15">
      <c r="J38" s="9"/>
      <c r="K38" s="9"/>
      <c r="L38" s="9"/>
      <c r="M38" s="9"/>
      <c r="N38" s="15"/>
      <c r="O38" s="16"/>
      <c r="P38" s="16"/>
      <c r="Q38" s="17"/>
      <c r="R38" s="9"/>
      <c r="S38" s="9"/>
      <c r="T38" s="9"/>
    </row>
    <row r="39" spans="10:20" x14ac:dyDescent="0.15">
      <c r="J39" s="9"/>
      <c r="K39" s="9"/>
      <c r="L39" s="9"/>
      <c r="M39" s="9"/>
      <c r="N39" s="26"/>
      <c r="O39" s="13"/>
      <c r="P39" s="13"/>
      <c r="Q39" s="14"/>
      <c r="R39" s="12"/>
      <c r="S39" s="9"/>
      <c r="T39" s="9"/>
    </row>
    <row r="40" spans="10:20" x14ac:dyDescent="0.15">
      <c r="J40" s="9"/>
      <c r="K40" s="9"/>
      <c r="L40" s="9"/>
      <c r="M40" s="9"/>
      <c r="N40" s="28"/>
      <c r="O40" s="29"/>
      <c r="P40" s="29"/>
      <c r="Q40" s="30"/>
      <c r="R40" s="12"/>
      <c r="S40" s="9"/>
      <c r="T40" s="9"/>
    </row>
    <row r="41" spans="10:20" x14ac:dyDescent="0.15">
      <c r="J41" s="9"/>
      <c r="K41" s="9"/>
      <c r="L41" s="9"/>
      <c r="M41" s="9"/>
      <c r="N41" s="9"/>
      <c r="O41" s="9"/>
      <c r="P41" s="9"/>
      <c r="Q41" s="9"/>
      <c r="R41" s="9"/>
      <c r="S41" s="9"/>
      <c r="T41" s="9"/>
    </row>
    <row r="42" spans="10:20" x14ac:dyDescent="0.15">
      <c r="J42" s="9"/>
      <c r="K42" s="9"/>
      <c r="L42" s="9"/>
      <c r="M42" s="9"/>
      <c r="N42" s="9"/>
      <c r="O42" s="9"/>
      <c r="P42" s="9"/>
      <c r="Q42" s="9"/>
      <c r="R42" s="9"/>
      <c r="S42" s="9"/>
      <c r="T42" s="9"/>
    </row>
    <row r="43" spans="10:20" x14ac:dyDescent="0.15">
      <c r="J43" s="9"/>
      <c r="K43" s="9"/>
      <c r="L43" s="9"/>
      <c r="M43" s="9"/>
      <c r="N43" s="9"/>
      <c r="O43" s="9"/>
      <c r="P43" s="9"/>
      <c r="Q43" s="9"/>
      <c r="R43" s="9"/>
      <c r="S43" s="9"/>
      <c r="T43" s="9"/>
    </row>
    <row r="44" spans="10:20" x14ac:dyDescent="0.15">
      <c r="J44" s="9"/>
      <c r="K44" s="9"/>
      <c r="L44" s="9"/>
      <c r="M44" s="9"/>
      <c r="N44" s="9"/>
      <c r="O44" s="9"/>
      <c r="P44" s="9"/>
      <c r="Q44" s="9"/>
      <c r="R44" s="9"/>
      <c r="S44" s="9"/>
      <c r="T44" s="9"/>
    </row>
    <row r="45" spans="10:20" x14ac:dyDescent="0.15">
      <c r="J45" s="9"/>
      <c r="K45" s="9"/>
      <c r="L45" s="9"/>
      <c r="M45" s="9"/>
      <c r="N45" s="9"/>
      <c r="O45" s="9"/>
      <c r="P45" s="9"/>
      <c r="Q45" s="9"/>
      <c r="R45" s="9"/>
      <c r="S45" s="9"/>
      <c r="T45" s="9"/>
    </row>
    <row r="46" spans="10:20" x14ac:dyDescent="0.15">
      <c r="J46" s="9"/>
      <c r="K46" s="15"/>
      <c r="L46" s="31"/>
      <c r="M46" s="31"/>
      <c r="N46" s="31"/>
      <c r="O46" s="31"/>
      <c r="P46" s="31"/>
      <c r="Q46" s="31"/>
      <c r="R46" s="31"/>
      <c r="S46" s="31"/>
      <c r="T46" s="9"/>
    </row>
    <row r="47" spans="10:20" x14ac:dyDescent="0.15">
      <c r="J47" s="9"/>
      <c r="K47" s="15"/>
      <c r="L47" s="31"/>
      <c r="M47" s="31"/>
      <c r="N47" s="31"/>
      <c r="O47" s="31"/>
      <c r="P47" s="31"/>
      <c r="Q47" s="31"/>
      <c r="R47" s="31"/>
      <c r="S47" s="31"/>
      <c r="T47" s="9"/>
    </row>
    <row r="48" spans="10:20" x14ac:dyDescent="0.15">
      <c r="J48" s="9"/>
      <c r="K48" s="15"/>
      <c r="L48" s="31"/>
      <c r="M48" s="31"/>
      <c r="N48" s="31"/>
      <c r="O48" s="31"/>
      <c r="P48" s="31"/>
      <c r="Q48" s="31"/>
      <c r="R48" s="31"/>
      <c r="S48" s="31"/>
      <c r="T48" s="9"/>
    </row>
    <row r="49" spans="10:20" x14ac:dyDescent="0.15">
      <c r="J49" s="9"/>
      <c r="K49" s="9"/>
      <c r="L49" s="9"/>
      <c r="M49" s="9"/>
      <c r="N49" s="9"/>
      <c r="O49" s="9"/>
      <c r="P49" s="9"/>
      <c r="Q49" s="9"/>
      <c r="R49" s="9"/>
      <c r="S49" s="9"/>
      <c r="T49" s="9"/>
    </row>
  </sheetData>
  <phoneticPr fontId="2"/>
  <pageMargins left="0.70866141732283472" right="0.70866141732283472" top="0.74803149606299213" bottom="0.74803149606299213" header="0.31496062992125984" footer="0.31496062992125984"/>
  <pageSetup paperSize="11" scale="9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0]!データ削除_年齢区分">
                <anchor moveWithCells="1" sizeWithCells="1">
                  <from>
                    <xdr:col>17</xdr:col>
                    <xdr:colOff>257175</xdr:colOff>
                    <xdr:row>1</xdr:row>
                    <xdr:rowOff>238125</xdr:rowOff>
                  </from>
                  <to>
                    <xdr:col>18</xdr:col>
                    <xdr:colOff>476250</xdr:colOff>
                    <xdr:row>3</xdr:row>
                    <xdr:rowOff>161925</xdr:rowOff>
                  </to>
                </anchor>
              </controlPr>
            </control>
          </mc:Choice>
        </mc:AlternateContent>
      </controls>
    </mc:Choice>
  </mc:AlternateContent>
  <tableParts count="3">
    <tablePart r:id="rId5"/>
    <tablePart r:id="rId6"/>
    <tablePart r:id="rId7"/>
  </tablePart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tabColor rgb="FFFF0000"/>
    <pageSetUpPr fitToPage="1"/>
  </sheetPr>
  <dimension ref="B1:AZ73"/>
  <sheetViews>
    <sheetView showGridLines="0" view="pageBreakPreview" topLeftCell="C1" zoomScale="80" zoomScaleNormal="100" zoomScaleSheetLayoutView="80" workbookViewId="0">
      <selection activeCell="K1" sqref="K1:AF1048576"/>
    </sheetView>
  </sheetViews>
  <sheetFormatPr defaultRowHeight="18.75" x14ac:dyDescent="0.15"/>
  <cols>
    <col min="1" max="1" width="3.375" style="1" customWidth="1"/>
    <col min="2" max="2" width="40" style="1" customWidth="1"/>
    <col min="3" max="10" width="9.375" style="1" customWidth="1"/>
    <col min="11" max="11" width="9.125" style="1" hidden="1" customWidth="1"/>
    <col min="12" max="12" width="45.5" style="1" hidden="1" customWidth="1"/>
    <col min="13" max="28" width="11.125" style="1" hidden="1" customWidth="1"/>
    <col min="29" max="29" width="9.125" style="1" hidden="1" customWidth="1"/>
    <col min="30" max="32" width="9" style="1" hidden="1" customWidth="1"/>
    <col min="33" max="34" width="9" style="1" customWidth="1"/>
    <col min="35" max="52" width="9" style="1" hidden="1" customWidth="1"/>
    <col min="53" max="16384" width="9" style="1"/>
  </cols>
  <sheetData>
    <row r="1" spans="2:51" ht="19.5" customHeight="1" x14ac:dyDescent="0.15">
      <c r="B1" s="2" t="s">
        <v>78</v>
      </c>
    </row>
    <row r="2" spans="2:51" ht="18.75" customHeight="1" thickBot="1" x14ac:dyDescent="0.2">
      <c r="B2" s="913" t="s">
        <v>240</v>
      </c>
      <c r="C2" s="942" t="s">
        <v>64</v>
      </c>
      <c r="D2" s="943"/>
      <c r="E2" s="943"/>
      <c r="F2" s="943"/>
      <c r="G2" s="943"/>
      <c r="H2" s="943"/>
      <c r="I2" s="943"/>
      <c r="J2" s="944"/>
      <c r="L2" s="52" t="s">
        <v>63</v>
      </c>
    </row>
    <row r="3" spans="2:51" ht="18.75" customHeight="1" thickTop="1" thickBot="1" x14ac:dyDescent="0.2">
      <c r="B3" s="941"/>
      <c r="C3" s="945" t="s">
        <v>69</v>
      </c>
      <c r="D3" s="946"/>
      <c r="E3" s="947" t="s">
        <v>270</v>
      </c>
      <c r="F3" s="948"/>
      <c r="G3" s="947" t="s">
        <v>271</v>
      </c>
      <c r="H3" s="948"/>
      <c r="I3" s="945" t="s">
        <v>72</v>
      </c>
      <c r="J3" s="946"/>
      <c r="L3" s="488" t="s">
        <v>373</v>
      </c>
      <c r="M3" s="55" t="s">
        <v>182</v>
      </c>
      <c r="N3" s="55" t="s">
        <v>183</v>
      </c>
      <c r="O3" s="55" t="s">
        <v>184</v>
      </c>
      <c r="P3" s="55" t="s">
        <v>185</v>
      </c>
      <c r="Q3" s="55" t="s">
        <v>186</v>
      </c>
      <c r="R3" s="55" t="s">
        <v>187</v>
      </c>
      <c r="S3" s="55" t="s">
        <v>188</v>
      </c>
      <c r="T3" s="55" t="s">
        <v>189</v>
      </c>
      <c r="U3" s="55" t="s">
        <v>190</v>
      </c>
      <c r="V3" s="55" t="s">
        <v>191</v>
      </c>
      <c r="W3" s="55" t="s">
        <v>192</v>
      </c>
      <c r="X3" s="55" t="s">
        <v>193</v>
      </c>
      <c r="Y3" s="55" t="s">
        <v>194</v>
      </c>
      <c r="Z3" s="55" t="s">
        <v>195</v>
      </c>
      <c r="AA3" s="55" t="s">
        <v>196</v>
      </c>
      <c r="AB3" s="55" t="s">
        <v>197</v>
      </c>
    </row>
    <row r="4" spans="2:51" ht="37.5" customHeight="1" thickTop="1" x14ac:dyDescent="0.15">
      <c r="B4" s="107" t="s">
        <v>231</v>
      </c>
      <c r="C4" s="108">
        <f>IFERROR(INDEX(退院予定有無×在院期間区分[#All],MATCH($AI5,退院予定有無×在院期間区分[[#All],[行ラベル]],0),MATCH($AJ$4,退院予定有無×在院期間区分[#Headers],0)),)+IFERROR(INDEX(退院予定有無×在院期間区分[#All],MATCH($AI5,退院予定有無×在院期間区分[[#All],[行ラベル]],0),MATCH($AK$4,退院予定有無×在院期間区分[#Headers],0)),0)+IFERROR(INDEX(退院予定有無×在院期間区分[#All],MATCH($AI5,退院予定有無×在院期間区分[[#All],[行ラベル]],0),MATCH($AL$4,退院予定有無×在院期間区分[#Headers],0)),0)+IFERROR(INDEX(退院予定有無×在院期間区分[#All],MATCH($AI5,退院予定有無×在院期間区分[[#All],[行ラベル]],0),MATCH($AM$4,退院予定有無×在院期間区分[#Headers],0)),0)</f>
        <v>811</v>
      </c>
      <c r="D4" s="109">
        <f>IFERROR(C4/C$7,"-")</f>
        <v>0.13021836865767503</v>
      </c>
      <c r="E4" s="88">
        <f>IFERROR(INDEX(退院予定有無×在院期間区分[#All],MATCH($AI5,退院予定有無×在院期間区分[[#All],[行ラベル]],0),MATCH($AN$4,退院予定有無×在院期間区分[#Headers],0)),0)+IFERROR(INDEX(退院予定有無×在院期間区分[#All],MATCH($AI5,退院予定有無×在院期間区分[[#All],[行ラベル]],0),MATCH($AO$4,退院予定有無×在院期間区分[#Headers],0)),0)+IFERROR(INDEX(退院予定有無×在院期間区分[#All],MATCH($AI5,退院予定有無×在院期間区分[[#All],[行ラベル]],0),MATCH($AP$4,退院予定有無×在院期間区分[#Headers],0)),0)+IFERROR(INDEX(退院予定有無×在院期間区分[#All],MATCH($AI5,退院予定有無×在院期間区分[[#All],[行ラベル]],0),MATCH($AQ$4,退院予定有無×在院期間区分[#Headers],0)),0)+IFERROR(INDEX(退院予定有無×在院期間区分[#All],MATCH($AI5,退院予定有無×在院期間区分[[#All],[行ラベル]],0),MATCH($AR$4,退院予定有無×在院期間区分[#Headers],0)),0)</f>
        <v>658</v>
      </c>
      <c r="F4" s="109">
        <f>IFERROR(E4/E$7,"-")</f>
        <v>0.1419939577039275</v>
      </c>
      <c r="G4" s="88">
        <f>IFERROR(INDEX(退院予定有無×在院期間区分[#All],MATCH($AI5,退院予定有無×在院期間区分[[#All],[行ラベル]],0),MATCH($AS$4,退院予定有無×在院期間区分[#Headers],0))+INDEX(退院予定有無×在院期間区分[#All],MATCH($AI5,退院予定有無×在院期間区分[[#All],[行ラベル]],0),MATCH($AT$4,退院予定有無×在院期間区分[#Headers],0)),0)+IFERROR(INDEX(退院予定有無×在院期間区分[#All],MATCH($AI5,退院予定有無×在院期間区分[[#All],[行ラベル]],0),MATCH($AU$4,退院予定有無×在院期間区分[#Headers],0)),0)+IFERROR(INDEX(退院予定有無×在院期間区分[#All],MATCH($AI5,退院予定有無×在院期間区分[[#All],[行ラベル]],0),MATCH($AV$4,退院予定有無×在院期間区分[#Headers],0)),0)+IFERROR(INDEX(退院予定有無×在院期間区分[#All],MATCH($AI5,退院予定有無×在院期間区分[[#All],[行ラベル]],0),MATCH($AW$4,退院予定有無×在院期間区分[#Headers],0)),0)</f>
        <v>276</v>
      </c>
      <c r="H4" s="109">
        <f>IFERROR(G4/G$7,"-")</f>
        <v>0.14457831325301204</v>
      </c>
      <c r="I4" s="88">
        <f>IFERROR(INDEX(退院予定有無×在院期間区分[#All],MATCH($AI5,退院予定有無×在院期間区分[[#All],[行ラベル]],0),MATCH($AX$4,退院予定有無×在院期間区分[#Headers],0)),0)+IFERROR(INDEX(退院予定有無×在院期間区分[#All],MATCH($AI5,退院予定有無×在院期間区分[[#All],[行ラベル]],0),MATCH($AY$4,退院予定有無×在院期間区分[#Headers],0)),0)</f>
        <v>330</v>
      </c>
      <c r="J4" s="89">
        <f>IFERROR(I4/I$7,"-")</f>
        <v>0.14858171994597028</v>
      </c>
      <c r="K4" s="38">
        <f>C4+E4+G4+I4</f>
        <v>2075</v>
      </c>
      <c r="L4" s="33">
        <v>98</v>
      </c>
      <c r="M4" s="59">
        <v>1066</v>
      </c>
      <c r="N4" s="59">
        <v>1201</v>
      </c>
      <c r="O4" s="59">
        <v>696</v>
      </c>
      <c r="P4" s="59">
        <v>1051</v>
      </c>
      <c r="Q4" s="59">
        <v>750</v>
      </c>
      <c r="R4" s="59">
        <v>613</v>
      </c>
      <c r="S4" s="59">
        <v>1050</v>
      </c>
      <c r="T4" s="59">
        <v>755</v>
      </c>
      <c r="U4" s="59">
        <v>652</v>
      </c>
      <c r="V4" s="59">
        <v>481</v>
      </c>
      <c r="W4" s="59">
        <v>337</v>
      </c>
      <c r="X4" s="59">
        <v>305</v>
      </c>
      <c r="Y4" s="59">
        <v>261</v>
      </c>
      <c r="Z4" s="59">
        <v>217</v>
      </c>
      <c r="AA4" s="59">
        <v>1180</v>
      </c>
      <c r="AB4" s="59">
        <v>681</v>
      </c>
      <c r="AJ4" s="379" t="s">
        <v>182</v>
      </c>
      <c r="AK4" s="379" t="s">
        <v>183</v>
      </c>
      <c r="AL4" s="379" t="s">
        <v>184</v>
      </c>
      <c r="AM4" s="379" t="s">
        <v>185</v>
      </c>
      <c r="AN4" s="379" t="s">
        <v>186</v>
      </c>
      <c r="AO4" s="379" t="s">
        <v>187</v>
      </c>
      <c r="AP4" s="379" t="s">
        <v>188</v>
      </c>
      <c r="AQ4" s="379" t="s">
        <v>189</v>
      </c>
      <c r="AR4" s="379" t="s">
        <v>190</v>
      </c>
      <c r="AS4" s="379" t="s">
        <v>191</v>
      </c>
      <c r="AT4" s="379" t="s">
        <v>192</v>
      </c>
      <c r="AU4" s="379" t="s">
        <v>193</v>
      </c>
      <c r="AV4" s="379" t="s">
        <v>194</v>
      </c>
      <c r="AW4" s="379" t="s">
        <v>195</v>
      </c>
      <c r="AX4" s="379" t="s">
        <v>196</v>
      </c>
      <c r="AY4" s="379" t="s">
        <v>197</v>
      </c>
    </row>
    <row r="5" spans="2:51" ht="18.75" customHeight="1" x14ac:dyDescent="0.15">
      <c r="B5" s="110" t="s">
        <v>241</v>
      </c>
      <c r="C5" s="111">
        <f>IFERROR(INDEX(退院予定有無×在院期間区分[#All],MATCH($AI6,退院予定有無×在院期間区分[[#All],[行ラベル]],0),MATCH($AJ$4,退院予定有無×在院期間区分[#Headers],0)),)+IFERROR(INDEX(退院予定有無×在院期間区分[#All],MATCH($AI6,退院予定有無×在院期間区分[[#All],[行ラベル]],0),MATCH($AK$4,退院予定有無×在院期間区分[#Headers],0)),0)+IFERROR(INDEX(退院予定有無×在院期間区分[#All],MATCH($AI6,退院予定有無×在院期間区分[[#All],[行ラベル]],0),MATCH($AL$4,退院予定有無×在院期間区分[#Headers],0)),0)+IFERROR(INDEX(退院予定有無×在院期間区分[#All],MATCH($AI6,退院予定有無×在院期間区分[[#All],[行ラベル]],0),MATCH($AM$4,退院予定有無×在院期間区分[#Headers],0)),0)</f>
        <v>4014</v>
      </c>
      <c r="D5" s="68">
        <f>IFERROR(C5/C$7,"-")</f>
        <v>0.6445086705202312</v>
      </c>
      <c r="E5" s="69">
        <f>IFERROR(INDEX(退院予定有無×在院期間区分[#All],MATCH($AI6,退院予定有無×在院期間区分[[#All],[行ラベル]],0),MATCH($AN$4,退院予定有無×在院期間区分[#Headers],0)),0)+IFERROR(INDEX(退院予定有無×在院期間区分[#All],MATCH($AI6,退院予定有無×在院期間区分[[#All],[行ラベル]],0),MATCH($AO$4,退院予定有無×在院期間区分[#Headers],0)),0)+IFERROR(INDEX(退院予定有無×在院期間区分[#All],MATCH($AI6,退院予定有無×在院期間区分[[#All],[行ラベル]],0),MATCH($AP$4,退院予定有無×在院期間区分[#Headers],0)),0)+IFERROR(INDEX(退院予定有無×在院期間区分[#All],MATCH($AI6,退院予定有無×在院期間区分[[#All],[行ラベル]],0),MATCH($AQ$4,退院予定有無×在院期間区分[#Headers],0)),0)+IFERROR(INDEX(退院予定有無×在院期間区分[#All],MATCH($AI6,退院予定有無×在院期間区分[[#All],[行ラベル]],0),MATCH($AR$4,退院予定有無×在院期間区分[#Headers],0)),0)</f>
        <v>3820</v>
      </c>
      <c r="F5" s="68">
        <f>IFERROR(E5/E$7,"-")</f>
        <v>0.82434182132067324</v>
      </c>
      <c r="G5" s="69">
        <f>IFERROR(INDEX(退院予定有無×在院期間区分[#All],MATCH($AI6,退院予定有無×在院期間区分[[#All],[行ラベル]],0),MATCH($AS$4,退院予定有無×在院期間区分[#Headers],0))+INDEX(退院予定有無×在院期間区分[#All],MATCH($AI6,退院予定有無×在院期間区分[[#All],[行ラベル]],0),MATCH($AT$4,退院予定有無×在院期間区分[#Headers],0)),0)+IFERROR(INDEX(退院予定有無×在院期間区分[#All],MATCH($AI6,退院予定有無×在院期間区分[[#All],[行ラベル]],0),MATCH($AU$4,退院予定有無×在院期間区分[#Headers],0)),0)+IFERROR(INDEX(退院予定有無×在院期間区分[#All],MATCH($AI6,退院予定有無×在院期間区分[[#All],[行ラベル]],0),MATCH($AV$4,退院予定有無×在院期間区分[#Headers],0)),0)+IFERROR(INDEX(退院予定有無×在院期間区分[#All],MATCH($AI6,退院予定有無×在院期間区分[[#All],[行ラベル]],0),MATCH($AW$4,退院予定有無×在院期間区分[#Headers],0)),0)</f>
        <v>1601</v>
      </c>
      <c r="H5" s="72">
        <f>IFERROR(G5/G$7,"-")</f>
        <v>0.83865898376113146</v>
      </c>
      <c r="I5" s="69">
        <f>IFERROR(INDEX(退院予定有無×在院期間区分[#All],MATCH($AI6,退院予定有無×在院期間区分[[#All],[行ラベル]],0),MATCH($AX$4,退院予定有無×在院期間区分[#Headers],0)),0)+IFERROR(INDEX(退院予定有無×在院期間区分[#All],MATCH($AI6,退院予定有無×在院期間区分[[#All],[行ラベル]],0),MATCH($AY$4,退院予定有無×在院期間区分[#Headers],0)),0)</f>
        <v>1861</v>
      </c>
      <c r="J5" s="74">
        <f>IFERROR(I5/I$7,"-")</f>
        <v>0.83791085096803242</v>
      </c>
      <c r="K5" s="38">
        <f>C5+E5+G5+I5</f>
        <v>11296</v>
      </c>
      <c r="L5" s="33">
        <v>97</v>
      </c>
      <c r="M5" s="59">
        <v>159</v>
      </c>
      <c r="N5" s="59">
        <v>269</v>
      </c>
      <c r="O5" s="59">
        <v>147</v>
      </c>
      <c r="P5" s="59">
        <v>236</v>
      </c>
      <c r="Q5" s="59">
        <v>131</v>
      </c>
      <c r="R5" s="59">
        <v>101</v>
      </c>
      <c r="S5" s="59">
        <v>178</v>
      </c>
      <c r="T5" s="59">
        <v>159</v>
      </c>
      <c r="U5" s="59">
        <v>89</v>
      </c>
      <c r="V5" s="59">
        <v>85</v>
      </c>
      <c r="W5" s="59">
        <v>54</v>
      </c>
      <c r="X5" s="59">
        <v>56</v>
      </c>
      <c r="Y5" s="59">
        <v>45</v>
      </c>
      <c r="Z5" s="59">
        <v>36</v>
      </c>
      <c r="AA5" s="59">
        <v>193</v>
      </c>
      <c r="AB5" s="59">
        <v>137</v>
      </c>
      <c r="AI5" s="33">
        <v>97</v>
      </c>
      <c r="AJ5" s="55"/>
    </row>
    <row r="6" spans="2:51" ht="18.75" customHeight="1" x14ac:dyDescent="0.15">
      <c r="B6" s="112" t="s">
        <v>36</v>
      </c>
      <c r="C6" s="113">
        <f>IFERROR(INDEX(退院予定有無×在院期間区分[#All],MATCH($AI7,退院予定有無×在院期間区分[[#All],[行ラベル]],0),MATCH($AJ$4,退院予定有無×在院期間区分[#Headers],0)),)+IFERROR(INDEX(退院予定有無×在院期間区分[#All],MATCH($AI7,退院予定有無×在院期間区分[[#All],[行ラベル]],0),MATCH($AK$4,退院予定有無×在院期間区分[#Headers],0)),0)+IFERROR(INDEX(退院予定有無×在院期間区分[#All],MATCH($AI7,退院予定有無×在院期間区分[[#All],[行ラベル]],0),MATCH($AL$4,退院予定有無×在院期間区分[#Headers],0)),0)+IFERROR(INDEX(退院予定有無×在院期間区分[#All],MATCH($AI7,退院予定有無×在院期間区分[[#All],[行ラベル]],0),MATCH($AM$4,退院予定有無×在院期間区分[#Headers],0)),0)</f>
        <v>1403</v>
      </c>
      <c r="D6" s="81">
        <f>IFERROR(C6/C$7,"-")</f>
        <v>0.22527296082209378</v>
      </c>
      <c r="E6" s="67">
        <f>IFERROR(INDEX(退院予定有無×在院期間区分[#All],MATCH($AI7,退院予定有無×在院期間区分[[#All],[行ラベル]],0),MATCH($AN$4,退院予定有無×在院期間区分[#Headers],0)),0)+IFERROR(INDEX(退院予定有無×在院期間区分[#All],MATCH($AI7,退院予定有無×在院期間区分[[#All],[行ラベル]],0),MATCH($AO$4,退院予定有無×在院期間区分[#Headers],0)),0)+IFERROR(INDEX(退院予定有無×在院期間区分[#All],MATCH($AI7,退院予定有無×在院期間区分[[#All],[行ラベル]],0),MATCH($AP$4,退院予定有無×在院期間区分[#Headers],0)),0)+IFERROR(INDEX(退院予定有無×在院期間区分[#All],MATCH($AI7,退院予定有無×在院期間区分[[#All],[行ラベル]],0),MATCH($AQ$4,退院予定有無×在院期間区分[#Headers],0)),0)+IFERROR(INDEX(退院予定有無×在院期間区分[#All],MATCH($AI7,退院予定有無×在院期間区分[[#All],[行ラベル]],0),MATCH($AR$4,退院予定有無×在院期間区分[#Headers],0)),0)</f>
        <v>156</v>
      </c>
      <c r="F6" s="76">
        <f>IFERROR(E6/E$7,"-")</f>
        <v>3.3664220975399221E-2</v>
      </c>
      <c r="G6" s="67">
        <f>IFERROR(INDEX(退院予定有無×在院期間区分[#All],MATCH($AI7,退院予定有無×在院期間区分[[#All],[行ラベル]],0),MATCH($AS$4,退院予定有無×在院期間区分[#Headers],0))+INDEX(退院予定有無×在院期間区分[#All],MATCH($AI7,退院予定有無×在院期間区分[[#All],[行ラベル]],0),MATCH($AT$4,退院予定有無×在院期間区分[#Headers],0)),0)+IFERROR(INDEX(退院予定有無×在院期間区分[#All],MATCH($AI7,退院予定有無×在院期間区分[[#All],[行ラベル]],0),MATCH($AU$4,退院予定有無×在院期間区分[#Headers],0)),0)+IFERROR(INDEX(退院予定有無×在院期間区分[#All],MATCH($AI7,退院予定有無×在院期間区分[[#All],[行ラベル]],0),MATCH($AV$4,退院予定有無×在院期間区分[#Headers],0)),0)+IFERROR(INDEX(退院予定有無×在院期間区分[#All],MATCH($AI7,退院予定有無×在院期間区分[[#All],[行ラベル]],0),MATCH($AW$4,退院予定有無×在院期間区分[#Headers],0)),0)</f>
        <v>32</v>
      </c>
      <c r="H6" s="76">
        <f>IFERROR(G6/G$7,"-")</f>
        <v>1.676270298585647E-2</v>
      </c>
      <c r="I6" s="67">
        <f>IFERROR(INDEX(退院予定有無×在院期間区分[#All],MATCH($AI7,退院予定有無×在院期間区分[[#All],[行ラベル]],0),MATCH($AX$4,退院予定有無×在院期間区分[#Headers],0)),0)+IFERROR(INDEX(退院予定有無×在院期間区分[#All],MATCH($AI7,退院予定有無×在院期間区分[[#All],[行ラベル]],0),MATCH($AY$4,退院予定有無×在院期間区分[#Headers],0)),0)</f>
        <v>30</v>
      </c>
      <c r="J6" s="76">
        <f>IFERROR(I6/I$7,"-")</f>
        <v>1.3507429085997299E-2</v>
      </c>
      <c r="K6" s="38">
        <f>C6+E6+G6+I6</f>
        <v>1621</v>
      </c>
      <c r="L6" s="33">
        <v>99</v>
      </c>
      <c r="M6" s="59">
        <v>487</v>
      </c>
      <c r="N6" s="59">
        <v>571</v>
      </c>
      <c r="O6" s="59">
        <v>198</v>
      </c>
      <c r="P6" s="59">
        <v>147</v>
      </c>
      <c r="Q6" s="59">
        <v>40</v>
      </c>
      <c r="R6" s="59">
        <v>45</v>
      </c>
      <c r="S6" s="59">
        <v>33</v>
      </c>
      <c r="T6" s="59">
        <v>21</v>
      </c>
      <c r="U6" s="59">
        <v>17</v>
      </c>
      <c r="V6" s="59">
        <v>11</v>
      </c>
      <c r="W6" s="59">
        <v>6</v>
      </c>
      <c r="X6" s="59">
        <v>6</v>
      </c>
      <c r="Y6" s="59">
        <v>5</v>
      </c>
      <c r="Z6" s="59">
        <v>4</v>
      </c>
      <c r="AA6" s="59">
        <v>22</v>
      </c>
      <c r="AB6" s="59">
        <v>8</v>
      </c>
      <c r="AI6" s="33">
        <v>98</v>
      </c>
      <c r="AJ6" s="55"/>
    </row>
    <row r="7" spans="2:51" ht="18.75" customHeight="1" x14ac:dyDescent="0.15">
      <c r="B7" s="114" t="s">
        <v>161</v>
      </c>
      <c r="C7" s="93">
        <f t="shared" ref="C7:J7" si="0">SUM(C4:C6)</f>
        <v>6228</v>
      </c>
      <c r="D7" s="94">
        <f t="shared" si="0"/>
        <v>1</v>
      </c>
      <c r="E7" s="95">
        <f t="shared" si="0"/>
        <v>4634</v>
      </c>
      <c r="F7" s="94">
        <f t="shared" si="0"/>
        <v>1</v>
      </c>
      <c r="G7" s="115">
        <f t="shared" si="0"/>
        <v>1909</v>
      </c>
      <c r="H7" s="116">
        <f t="shared" si="0"/>
        <v>1</v>
      </c>
      <c r="I7" s="95">
        <f t="shared" si="0"/>
        <v>2221</v>
      </c>
      <c r="J7" s="94">
        <f t="shared" si="0"/>
        <v>1</v>
      </c>
      <c r="K7" s="38">
        <f>C7+E7+G7+I7</f>
        <v>14992</v>
      </c>
      <c r="L7" s="33"/>
      <c r="M7" s="42"/>
      <c r="N7" s="42"/>
      <c r="O7" s="42"/>
      <c r="P7" s="42"/>
      <c r="Q7" s="42"/>
      <c r="R7" s="42"/>
      <c r="S7" s="42"/>
      <c r="T7" s="42"/>
      <c r="U7" s="42"/>
      <c r="V7" s="42"/>
      <c r="W7" s="42"/>
      <c r="X7" s="42"/>
      <c r="Y7" s="42"/>
      <c r="Z7" s="42"/>
      <c r="AA7" s="42"/>
      <c r="AB7" s="42"/>
      <c r="AI7" s="33">
        <v>99</v>
      </c>
      <c r="AJ7" s="55"/>
    </row>
    <row r="8" spans="2:51" ht="18.75" customHeight="1" thickBot="1" x14ac:dyDescent="0.2">
      <c r="B8" s="96"/>
      <c r="C8" s="97"/>
      <c r="D8" s="98"/>
      <c r="E8" s="99"/>
      <c r="F8" s="98"/>
      <c r="G8" s="99"/>
      <c r="H8" s="98"/>
      <c r="I8" s="99"/>
      <c r="J8" s="98"/>
      <c r="K8" s="38"/>
      <c r="L8" s="33"/>
      <c r="M8" s="42"/>
      <c r="N8" s="42"/>
      <c r="O8" s="42"/>
      <c r="P8" s="42"/>
      <c r="Q8" s="42"/>
      <c r="R8" s="42"/>
      <c r="S8" s="42"/>
      <c r="T8" s="42"/>
      <c r="U8" s="42"/>
      <c r="V8" s="42"/>
      <c r="W8" s="42"/>
      <c r="X8" s="42"/>
      <c r="Y8" s="42"/>
      <c r="Z8" s="42"/>
      <c r="AA8" s="42"/>
      <c r="AB8" s="42"/>
      <c r="AI8" s="33"/>
      <c r="AJ8" s="55"/>
    </row>
    <row r="9" spans="2:51" ht="18.75" customHeight="1" thickTop="1" thickBot="1" x14ac:dyDescent="0.2">
      <c r="B9" s="100" t="s">
        <v>242</v>
      </c>
      <c r="C9" s="935"/>
      <c r="D9" s="936"/>
      <c r="E9" s="936"/>
      <c r="F9" s="936"/>
      <c r="G9" s="936"/>
      <c r="H9" s="936"/>
      <c r="I9" s="936"/>
      <c r="J9" s="937"/>
      <c r="K9" s="38"/>
      <c r="L9" s="488" t="s">
        <v>373</v>
      </c>
      <c r="M9" s="55" t="s">
        <v>182</v>
      </c>
      <c r="N9" s="55" t="s">
        <v>183</v>
      </c>
      <c r="O9" s="55" t="s">
        <v>184</v>
      </c>
      <c r="P9" s="55" t="s">
        <v>185</v>
      </c>
      <c r="Q9" s="55" t="s">
        <v>186</v>
      </c>
      <c r="R9" s="55" t="s">
        <v>187</v>
      </c>
      <c r="S9" s="55" t="s">
        <v>188</v>
      </c>
      <c r="T9" s="55" t="s">
        <v>189</v>
      </c>
      <c r="U9" s="55" t="s">
        <v>190</v>
      </c>
      <c r="V9" s="55" t="s">
        <v>191</v>
      </c>
      <c r="W9" s="55" t="s">
        <v>192</v>
      </c>
      <c r="X9" s="55" t="s">
        <v>193</v>
      </c>
      <c r="Y9" s="55" t="s">
        <v>194</v>
      </c>
      <c r="Z9" s="55" t="s">
        <v>195</v>
      </c>
      <c r="AA9" s="55" t="s">
        <v>196</v>
      </c>
      <c r="AB9" s="55" t="s">
        <v>197</v>
      </c>
      <c r="AI9" s="33"/>
      <c r="AJ9" s="55"/>
    </row>
    <row r="10" spans="2:51" ht="18.75" customHeight="1" thickTop="1" x14ac:dyDescent="0.15">
      <c r="B10" s="117" t="s">
        <v>34</v>
      </c>
      <c r="C10" s="108">
        <f>IFERROR(INDEX(阻害要因有無×在院期間区分[#All],MATCH($AI11,阻害要因有無×在院期間区分[[#All],[行ラベル]],0),MATCH($AJ$4,阻害要因有無×在院期間区分[#Headers],0)),0)+IFERROR(INDEX(阻害要因有無×在院期間区分[#All],MATCH($AI11,阻害要因有無×在院期間区分[[#All],[行ラベル]],0),MATCH($AK$4,阻害要因有無×在院期間区分[#Headers],0)),0)+IFERROR(INDEX(阻害要因有無×在院期間区分[#All],MATCH($AI11,阻害要因有無×在院期間区分[[#All],[行ラベル]],0),MATCH($AL$4,阻害要因有無×在院期間区分[#Headers],0)),0)+IFERROR(INDEX(阻害要因有無×在院期間区分[#All],MATCH($AI11,阻害要因有無×在院期間区分[[#All],[行ラベル]],0),MATCH($AM$4,阻害要因有無×在院期間区分[#Headers],0)),0)</f>
        <v>617</v>
      </c>
      <c r="D10" s="89">
        <f>IFERROR(C10/C$4,"-")</f>
        <v>0.76078914919852036</v>
      </c>
      <c r="E10" s="88">
        <f>IFERROR(INDEX(阻害要因有無×在院期間区分[#All],MATCH($AI11,阻害要因有無×在院期間区分[[#All],[行ラベル]],0),MATCH($AN$4,阻害要因有無×在院期間区分[#Headers],0)),0)+IFERROR(INDEX(阻害要因有無×在院期間区分[#All],MATCH($AI11,阻害要因有無×在院期間区分[[#All],[行ラベル]],0),MATCH($AO$4,阻害要因有無×在院期間区分[#Headers],0)),0)+IFERROR(INDEX(阻害要因有無×在院期間区分[#All],MATCH($AI11,阻害要因有無×在院期間区分[[#All],[行ラベル]],0),MATCH($AP$4,阻害要因有無×在院期間区分[#Headers],0)),0)+IFERROR(INDEX(阻害要因有無×在院期間区分[#All],MATCH($AI11,阻害要因有無×在院期間区分[[#All],[行ラベル]],0),MATCH($AQ$4,阻害要因有無×在院期間区分[#Headers],0)),0)+IFERROR(INDEX(阻害要因有無×在院期間区分[#All],MATCH($AI11,阻害要因有無×在院期間区分[[#All],[行ラベル]],0),MATCH($AR$4,阻害要因有無×在院期間区分[#Headers],0)),0)</f>
        <v>623</v>
      </c>
      <c r="F10" s="89">
        <f>IFERROR(E10/E$4,"-")</f>
        <v>0.94680851063829785</v>
      </c>
      <c r="G10" s="88">
        <f>IFERROR(INDEX(阻害要因有無×在院期間区分[#All],MATCH($AI11,阻害要因有無×在院期間区分[[#All],[行ラベル]],0),MATCH($AS$4,阻害要因有無×在院期間区分[#Headers],0)),0)+IFERROR(INDEX(阻害要因有無×在院期間区分[#All],MATCH($AI11,阻害要因有無×在院期間区分[[#All],[行ラベル]],0),MATCH($AT$4,阻害要因有無×在院期間区分[#Headers],0)),0)+IFERROR(INDEX(阻害要因有無×在院期間区分[#All],MATCH($AI11,阻害要因有無×在院期間区分[[#All],[行ラベル]],0),MATCH($AU$4,阻害要因有無×在院期間区分[#Headers],0)),0)+IFERROR(INDEX(阻害要因有無×在院期間区分[#All],MATCH($AI11,阻害要因有無×在院期間区分[[#All],[行ラベル]],0),MATCH($AV$4,阻害要因有無×在院期間区分[#Headers],0)),0)+IFERROR(INDEX(阻害要因有無×在院期間区分[#All],MATCH($AI11,阻害要因有無×在院期間区分[[#All],[行ラベル]],0),MATCH($AW$4,阻害要因有無×在院期間区分[#Headers],0)),0)</f>
        <v>265</v>
      </c>
      <c r="H10" s="89">
        <f>IFERROR(G10/G$4,"-")</f>
        <v>0.96014492753623193</v>
      </c>
      <c r="I10" s="88">
        <f>IFERROR(INDEX(阻害要因有無×在院期間区分[#All],MATCH($AI11,阻害要因有無×在院期間区分[[#All],[行ラベル]],0),MATCH($AX$4,阻害要因有無×在院期間区分[#Headers],0)),0)+IFERROR(INDEX(阻害要因有無×在院期間区分[#All],MATCH($AI11,阻害要因有無×在院期間区分[[#All],[行ラベル]],0),MATCH($AY$4,阻害要因有無×在院期間区分[#Headers],0)),0)</f>
        <v>324</v>
      </c>
      <c r="J10" s="89">
        <f>IFERROR(I10/I$4,"-")</f>
        <v>0.98181818181818181</v>
      </c>
      <c r="K10" s="38">
        <f>C10+E10+G10+I10</f>
        <v>1829</v>
      </c>
      <c r="L10" s="33">
        <v>91</v>
      </c>
      <c r="M10" s="59">
        <v>104</v>
      </c>
      <c r="N10" s="59">
        <v>175</v>
      </c>
      <c r="O10" s="59">
        <v>125</v>
      </c>
      <c r="P10" s="59">
        <v>213</v>
      </c>
      <c r="Q10" s="59">
        <v>121</v>
      </c>
      <c r="R10" s="59">
        <v>94</v>
      </c>
      <c r="S10" s="59">
        <v>173</v>
      </c>
      <c r="T10" s="59">
        <v>150</v>
      </c>
      <c r="U10" s="59">
        <v>85</v>
      </c>
      <c r="V10" s="59">
        <v>83</v>
      </c>
      <c r="W10" s="59">
        <v>50</v>
      </c>
      <c r="X10" s="59">
        <v>53</v>
      </c>
      <c r="Y10" s="59">
        <v>43</v>
      </c>
      <c r="Z10" s="59">
        <v>36</v>
      </c>
      <c r="AA10" s="59">
        <v>192</v>
      </c>
      <c r="AB10" s="59">
        <v>132</v>
      </c>
      <c r="AI10" s="33"/>
      <c r="AJ10" s="55"/>
    </row>
    <row r="11" spans="2:51" ht="18.75" customHeight="1" x14ac:dyDescent="0.15">
      <c r="B11" s="118" t="s">
        <v>35</v>
      </c>
      <c r="C11" s="111">
        <f>IFERROR(INDEX(阻害要因有無×在院期間区分[#All],MATCH($AI12,阻害要因有無×在院期間区分[[#All],[行ラベル]],0),MATCH($AJ$4,阻害要因有無×在院期間区分[#Headers],0)),0)+IFERROR(INDEX(阻害要因有無×在院期間区分[#All],MATCH($AI12,阻害要因有無×在院期間区分[[#All],[行ラベル]],0),MATCH($AK$4,阻害要因有無×在院期間区分[#Headers],0)),0)+IFERROR(INDEX(阻害要因有無×在院期間区分[#All],MATCH($AI12,阻害要因有無×在院期間区分[[#All],[行ラベル]],0),MATCH($AL$4,阻害要因有無×在院期間区分[#Headers],0)),0)+IFERROR(INDEX(阻害要因有無×在院期間区分[#All],MATCH($AI12,阻害要因有無×在院期間区分[[#All],[行ラベル]],0),MATCH($AM$4,阻害要因有無×在院期間区分[#Headers],0)),0)</f>
        <v>194</v>
      </c>
      <c r="D11" s="68">
        <f>IFERROR(C11/C$4,"-")</f>
        <v>0.23921085080147966</v>
      </c>
      <c r="E11" s="71">
        <f>IFERROR(INDEX(阻害要因有無×在院期間区分[#All],MATCH($AI12,阻害要因有無×在院期間区分[[#All],[行ラベル]],0),MATCH($AN$4,阻害要因有無×在院期間区分[#Headers],0)),0)+IFERROR(INDEX(阻害要因有無×在院期間区分[#All],MATCH($AI12,阻害要因有無×在院期間区分[[#All],[行ラベル]],0),MATCH($AO$4,阻害要因有無×在院期間区分[#Headers],0)),0)+IFERROR(INDEX(阻害要因有無×在院期間区分[#All],MATCH($AI12,阻害要因有無×在院期間区分[[#All],[行ラベル]],0),MATCH($AP$4,阻害要因有無×在院期間区分[#Headers],0)),0)+IFERROR(INDEX(阻害要因有無×在院期間区分[#All],MATCH($AI12,阻害要因有無×在院期間区分[[#All],[行ラベル]],0),MATCH($AQ$4,阻害要因有無×在院期間区分[#Headers],0)),0)+IFERROR(INDEX(阻害要因有無×在院期間区分[#All],MATCH($AI12,阻害要因有無×在院期間区分[[#All],[行ラベル]],0),MATCH($AR$4,阻害要因有無×在院期間区分[#Headers],0)),0)</f>
        <v>35</v>
      </c>
      <c r="F11" s="81">
        <f>IFERROR(E11/E$4,"-")</f>
        <v>5.3191489361702128E-2</v>
      </c>
      <c r="G11" s="71">
        <f>IFERROR(INDEX(阻害要因有無×在院期間区分[#All],MATCH($AI12,阻害要因有無×在院期間区分[[#All],[行ラベル]],0),MATCH($AS$4,阻害要因有無×在院期間区分[#Headers],0)),0)+IFERROR(INDEX(阻害要因有無×在院期間区分[#All],MATCH($AI12,阻害要因有無×在院期間区分[[#All],[行ラベル]],0),MATCH($AT$4,阻害要因有無×在院期間区分[#Headers],0)),0)+IFERROR(INDEX(阻害要因有無×在院期間区分[#All],MATCH($AI12,阻害要因有無×在院期間区分[[#All],[行ラベル]],0),MATCH($AU$4,阻害要因有無×在院期間区分[#Headers],0)),0)+IFERROR(INDEX(阻害要因有無×在院期間区分[#All],MATCH($AI12,阻害要因有無×在院期間区分[[#All],[行ラベル]],0),MATCH($AV$4,阻害要因有無×在院期間区分[#Headers],0)),0)+IFERROR(INDEX(阻害要因有無×在院期間区分[#All],MATCH($AI12,阻害要因有無×在院期間区分[[#All],[行ラベル]],0),MATCH($AW$4,阻害要因有無×在院期間区分[#Headers],0)),0)</f>
        <v>11</v>
      </c>
      <c r="H11" s="81">
        <f>IFERROR(G11/G$4,"-")</f>
        <v>3.9855072463768113E-2</v>
      </c>
      <c r="I11" s="71">
        <f>IFERROR(INDEX(阻害要因有無×在院期間区分[#All],MATCH($AI12,阻害要因有無×在院期間区分[[#All],[行ラベル]],0),MATCH($AX$4,阻害要因有無×在院期間区分[#Headers],0)),0)+IFERROR(INDEX(阻害要因有無×在院期間区分[#All],MATCH($AI12,阻害要因有無×在院期間区分[[#All],[行ラベル]],0),MATCH($AY$4,阻害要因有無×在院期間区分[#Headers],0)),0)</f>
        <v>6</v>
      </c>
      <c r="J11" s="81">
        <f>IFERROR(I11/I$4,"-")</f>
        <v>1.8181818181818181E-2</v>
      </c>
      <c r="K11" s="38">
        <f>C11+E11+G11+I11</f>
        <v>246</v>
      </c>
      <c r="L11" s="33">
        <v>90</v>
      </c>
      <c r="M11" s="59">
        <v>55</v>
      </c>
      <c r="N11" s="59">
        <v>94</v>
      </c>
      <c r="O11" s="59">
        <v>22</v>
      </c>
      <c r="P11" s="59">
        <v>23</v>
      </c>
      <c r="Q11" s="59">
        <v>10</v>
      </c>
      <c r="R11" s="59">
        <v>7</v>
      </c>
      <c r="S11" s="59">
        <v>5</v>
      </c>
      <c r="T11" s="59">
        <v>9</v>
      </c>
      <c r="U11" s="59">
        <v>4</v>
      </c>
      <c r="V11" s="59">
        <v>2</v>
      </c>
      <c r="W11" s="59">
        <v>4</v>
      </c>
      <c r="X11" s="59">
        <v>3</v>
      </c>
      <c r="Y11" s="59">
        <v>2</v>
      </c>
      <c r="Z11" s="59">
        <v>0</v>
      </c>
      <c r="AA11" s="59">
        <v>1</v>
      </c>
      <c r="AB11" s="59">
        <v>5</v>
      </c>
      <c r="AI11" s="33">
        <v>91</v>
      </c>
      <c r="AJ11" s="55"/>
    </row>
    <row r="12" spans="2:51" ht="18.75" customHeight="1" thickBot="1" x14ac:dyDescent="0.2">
      <c r="B12" s="102" t="s">
        <v>264</v>
      </c>
      <c r="C12" s="935"/>
      <c r="D12" s="936"/>
      <c r="E12" s="936"/>
      <c r="F12" s="936"/>
      <c r="G12" s="936"/>
      <c r="H12" s="936"/>
      <c r="I12" s="936"/>
      <c r="J12" s="937"/>
      <c r="K12" s="38"/>
      <c r="L12" s="33"/>
      <c r="M12" s="59">
        <v>1553</v>
      </c>
      <c r="N12" s="59">
        <v>1772</v>
      </c>
      <c r="O12" s="59">
        <v>894</v>
      </c>
      <c r="P12" s="59">
        <v>1198</v>
      </c>
      <c r="Q12" s="59">
        <v>790</v>
      </c>
      <c r="R12" s="59">
        <v>658</v>
      </c>
      <c r="S12" s="59">
        <v>1083</v>
      </c>
      <c r="T12" s="59">
        <v>776</v>
      </c>
      <c r="U12" s="59">
        <v>669</v>
      </c>
      <c r="V12" s="59">
        <v>492</v>
      </c>
      <c r="W12" s="59">
        <v>343</v>
      </c>
      <c r="X12" s="59">
        <v>311</v>
      </c>
      <c r="Y12" s="59">
        <v>266</v>
      </c>
      <c r="Z12" s="59">
        <v>221</v>
      </c>
      <c r="AA12" s="59">
        <v>1202</v>
      </c>
      <c r="AB12" s="59">
        <v>689</v>
      </c>
      <c r="AI12" s="33">
        <v>90</v>
      </c>
      <c r="AJ12" s="55"/>
    </row>
    <row r="13" spans="2:51" ht="18.75" customHeight="1" thickTop="1" thickBot="1" x14ac:dyDescent="0.2">
      <c r="B13" s="938" t="s">
        <v>274</v>
      </c>
      <c r="C13" s="939"/>
      <c r="D13" s="939"/>
      <c r="E13" s="939"/>
      <c r="F13" s="939"/>
      <c r="G13" s="939"/>
      <c r="H13" s="939"/>
      <c r="I13" s="939"/>
      <c r="J13" s="940"/>
      <c r="K13" s="38"/>
      <c r="L13" s="488" t="s">
        <v>619</v>
      </c>
      <c r="M13" s="55" t="s">
        <v>182</v>
      </c>
      <c r="N13" s="55" t="s">
        <v>183</v>
      </c>
      <c r="O13" s="55" t="s">
        <v>184</v>
      </c>
      <c r="P13" s="55" t="s">
        <v>185</v>
      </c>
      <c r="Q13" s="55" t="s">
        <v>186</v>
      </c>
      <c r="R13" s="55" t="s">
        <v>187</v>
      </c>
      <c r="S13" s="55" t="s">
        <v>188</v>
      </c>
      <c r="T13" s="55" t="s">
        <v>189</v>
      </c>
      <c r="U13" s="55" t="s">
        <v>190</v>
      </c>
      <c r="V13" s="55" t="s">
        <v>191</v>
      </c>
      <c r="W13" s="55" t="s">
        <v>192</v>
      </c>
      <c r="X13" s="55" t="s">
        <v>193</v>
      </c>
      <c r="Y13" s="55" t="s">
        <v>194</v>
      </c>
      <c r="Z13" s="55" t="s">
        <v>195</v>
      </c>
      <c r="AA13" s="55" t="s">
        <v>196</v>
      </c>
      <c r="AB13" s="55" t="s">
        <v>197</v>
      </c>
      <c r="AJ13" s="55"/>
    </row>
    <row r="14" spans="2:51" ht="37.5" customHeight="1" thickTop="1" x14ac:dyDescent="0.15">
      <c r="B14" s="544" t="s">
        <v>235</v>
      </c>
      <c r="C14" s="405">
        <f>IFERROR(INDEX(阻害要因×在院期間区分[#All],MATCH($AI15,阻害要因×在院期間区分[[#All],[値]],0),MATCH($AJ$4,阻害要因×在院期間区分[#Headers],0)),0)+IFERROR(INDEX(阻害要因×在院期間区分[#All],MATCH($AI15,阻害要因×在院期間区分[[#All],[値]],0),MATCH($AK$4,阻害要因×在院期間区分[#Headers],0)),0)+IFERROR(INDEX(阻害要因×在院期間区分[#All],MATCH($AI15,阻害要因×在院期間区分[[#All],[値]],0),MATCH($AL$4,阻害要因×在院期間区分[#Headers],0)),0)+IFERROR(INDEX(阻害要因×在院期間区分[#All],MATCH($AI15,阻害要因×在院期間区分[[#All],[値]],0),MATCH($AM$4,阻害要因×在院期間区分[#Headers],0)),0)</f>
        <v>228</v>
      </c>
      <c r="D14" s="75">
        <f t="shared" ref="D14:D30" si="1">IFERROR(C14/C$10,"-")</f>
        <v>0.36952998379254459</v>
      </c>
      <c r="E14" s="64">
        <f>IFERROR(INDEX(阻害要因×在院期間区分[#All],MATCH($AI15,阻害要因×在院期間区分[[#All],[値]],0),MATCH($AN$4,阻害要因×在院期間区分[#Headers],0)),0)+IFERROR(INDEX(阻害要因×在院期間区分[#All],MATCH($AI15,阻害要因×在院期間区分[[#All],[値]],0),MATCH($AO$4,阻害要因×在院期間区分[#Headers],0)),0)+IFERROR(INDEX(阻害要因×在院期間区分[#All],MATCH($AI15,阻害要因×在院期間区分[[#All],[値]],0),MATCH($AP$4,阻害要因×在院期間区分[#Headers],0)),0)+IFERROR(INDEX(阻害要因×在院期間区分[#All],MATCH($AI15,阻害要因×在院期間区分[[#All],[値]],0),MATCH($AQ$4,阻害要因×在院期間区分[#Headers],0)),0)+IFERROR(INDEX(阻害要因×在院期間区分[#All],MATCH($AI15,阻害要因×在院期間区分[[#All],[値]],0),MATCH($AR$4,阻害要因×在院期間区分[#Headers],0)),0)</f>
        <v>210</v>
      </c>
      <c r="F14" s="75">
        <f t="shared" ref="F14:F30" si="2">IFERROR(E14/E$10,"-")</f>
        <v>0.33707865168539325</v>
      </c>
      <c r="G14" s="64">
        <f>IFERROR(INDEX(阻害要因×在院期間区分[#All],MATCH($AI15,阻害要因×在院期間区分[[#All],[値]],0),MATCH($AS$4,阻害要因×在院期間区分[#Headers],0)),0)+IFERROR(INDEX(阻害要因×在院期間区分[#All],MATCH($AI15,阻害要因×在院期間区分[[#All],[値]],0),MATCH($AT$4,阻害要因×在院期間区分[#Headers],0)),0)+IFERROR(INDEX(阻害要因×在院期間区分[#All],MATCH($AI15,阻害要因×在院期間区分[[#All],[値]],0),MATCH($AU$4,阻害要因×在院期間区分[#Headers],0)),0)+IFERROR(INDEX(阻害要因×在院期間区分[#All],MATCH($AI15,阻害要因×在院期間区分[[#All],[値]],0),MATCH($AV$4,阻害要因×在院期間区分[#Headers],0)),0)+IFERROR(INDEX(阻害要因×在院期間区分[#All],MATCH($AI15,阻害要因×在院期間区分[[#All],[値]],0),MATCH($AW$4,阻害要因×在院期間区分[#Headers],0)),0)</f>
        <v>115</v>
      </c>
      <c r="H14" s="75">
        <f t="shared" ref="H14:H30" si="3">IFERROR(G14/G$10,"-")</f>
        <v>0.43396226415094341</v>
      </c>
      <c r="I14" s="64">
        <f>IFERROR(INDEX(阻害要因×在院期間区分[#All],MATCH($AI15,阻害要因×在院期間区分[[#All],[値]],0),MATCH($AX$4,阻害要因×在院期間区分[#Headers],0)),0)+IFERROR(INDEX(阻害要因×在院期間区分[#All],MATCH($AI15,阻害要因×在院期間区分[[#All],[値]],0),MATCH($AY$4,阻害要因×在院期間区分[#Headers],0)),0)</f>
        <v>117</v>
      </c>
      <c r="J14" s="75">
        <f t="shared" ref="J14:J30" si="4">IFERROR(I14/I$10,"-")</f>
        <v>0.3611111111111111</v>
      </c>
      <c r="K14" s="38">
        <f>C14+E14+G14+I14</f>
        <v>670</v>
      </c>
      <c r="L14" s="33" t="s">
        <v>309</v>
      </c>
      <c r="M14" s="65">
        <v>47</v>
      </c>
      <c r="N14" s="65">
        <v>71</v>
      </c>
      <c r="O14" s="65">
        <v>38</v>
      </c>
      <c r="P14" s="65">
        <v>72</v>
      </c>
      <c r="Q14" s="65">
        <v>37</v>
      </c>
      <c r="R14" s="65">
        <v>25</v>
      </c>
      <c r="S14" s="65">
        <v>57</v>
      </c>
      <c r="T14" s="65">
        <v>58</v>
      </c>
      <c r="U14" s="65">
        <v>33</v>
      </c>
      <c r="V14" s="65">
        <v>40</v>
      </c>
      <c r="W14" s="65">
        <v>22</v>
      </c>
      <c r="X14" s="65">
        <v>26</v>
      </c>
      <c r="Y14" s="65">
        <v>16</v>
      </c>
      <c r="Z14" s="65">
        <v>11</v>
      </c>
      <c r="AA14" s="65">
        <v>75</v>
      </c>
      <c r="AB14" s="65">
        <v>42</v>
      </c>
      <c r="AJ14" s="55"/>
    </row>
    <row r="15" spans="2:51" ht="18.75" customHeight="1" x14ac:dyDescent="0.15">
      <c r="B15" s="104" t="s">
        <v>66</v>
      </c>
      <c r="C15" s="119">
        <f>IFERROR(INDEX(阻害要因×在院期間区分[#All],MATCH($AI16,阻害要因×在院期間区分[[#All],[値]],0),MATCH($AJ$4,阻害要因×在院期間区分[#Headers],0)),0)+IFERROR(INDEX(阻害要因×在院期間区分[#All],MATCH($AI16,阻害要因×在院期間区分[[#All],[値]],0),MATCH($AK$4,阻害要因×在院期間区分[#Headers],0)),0)+IFERROR(INDEX(阻害要因×在院期間区分[#All],MATCH($AI16,阻害要因×在院期間区分[[#All],[値]],0),MATCH($AL$4,阻害要因×在院期間区分[#Headers],0)),0)+IFERROR(INDEX(阻害要因×在院期間区分[#All],MATCH($AI16,阻害要因×在院期間区分[[#All],[値]],0),MATCH($AM$4,阻害要因×在院期間区分[#Headers],0)),0)</f>
        <v>172</v>
      </c>
      <c r="D15" s="68">
        <f t="shared" si="1"/>
        <v>0.27876823338735818</v>
      </c>
      <c r="E15" s="70">
        <f>IFERROR(INDEX(阻害要因×在院期間区分[#All],MATCH($AI16,阻害要因×在院期間区分[[#All],[値]],0),MATCH($AN$4,阻害要因×在院期間区分[#Headers],0)),0)+IFERROR(INDEX(阻害要因×在院期間区分[#All],MATCH($AI16,阻害要因×在院期間区分[[#All],[値]],0),MATCH($AO$4,阻害要因×在院期間区分[#Headers],0)),0)+IFERROR(INDEX(阻害要因×在院期間区分[#All],MATCH($AI16,阻害要因×在院期間区分[[#All],[値]],0),MATCH($AP$4,阻害要因×在院期間区分[#Headers],0)),0)+IFERROR(INDEX(阻害要因×在院期間区分[#All],MATCH($AI16,阻害要因×在院期間区分[[#All],[値]],0),MATCH($AQ$4,阻害要因×在院期間区分[#Headers],0)),0)+IFERROR(INDEX(阻害要因×在院期間区分[#All],MATCH($AI16,阻害要因×在院期間区分[[#All],[値]],0),MATCH($AR$4,阻害要因×在院期間区分[#Headers],0)),0)</f>
        <v>195</v>
      </c>
      <c r="F15" s="68">
        <f t="shared" si="2"/>
        <v>0.3130016051364366</v>
      </c>
      <c r="G15" s="71">
        <f>IFERROR(INDEX(阻害要因×在院期間区分[#All],MATCH($AI16,阻害要因×在院期間区分[[#All],[値]],0),MATCH($AS$4,阻害要因×在院期間区分[#Headers],0)),0)+IFERROR(INDEX(阻害要因×在院期間区分[#All],MATCH($AI16,阻害要因×在院期間区分[[#All],[値]],0),MATCH($AT$4,阻害要因×在院期間区分[#Headers],0)),0)+IFERROR(INDEX(阻害要因×在院期間区分[#All],MATCH($AI16,阻害要因×在院期間区分[[#All],[値]],0),MATCH($AU$4,阻害要因×在院期間区分[#Headers],0)),0)+IFERROR(INDEX(阻害要因×在院期間区分[#All],MATCH($AI16,阻害要因×在院期間区分[[#All],[値]],0),MATCH($AV$4,阻害要因×在院期間区分[#Headers],0)),0)+IFERROR(INDEX(阻害要因×在院期間区分[#All],MATCH($AI16,阻害要因×在院期間区分[[#All],[値]],0),MATCH($AW$4,阻害要因×在院期間区分[#Headers],0)),0)</f>
        <v>93</v>
      </c>
      <c r="H15" s="68">
        <f t="shared" si="3"/>
        <v>0.35094339622641507</v>
      </c>
      <c r="I15" s="71">
        <f>IFERROR(INDEX(阻害要因×在院期間区分[#All],MATCH($AI16,阻害要因×在院期間区分[[#All],[値]],0),MATCH($AX$4,阻害要因×在院期間区分[#Headers],0)),0)+IFERROR(INDEX(阻害要因×在院期間区分[#All],MATCH($AI16,阻害要因×在院期間区分[[#All],[値]],0),MATCH($AY$4,阻害要因×在院期間区分[#Headers],0)),0)</f>
        <v>110</v>
      </c>
      <c r="J15" s="68">
        <f t="shared" si="4"/>
        <v>0.33950617283950618</v>
      </c>
      <c r="K15" s="38">
        <f t="shared" ref="K15:K29" si="5">SUM(C15,E15,G15,I15)</f>
        <v>570</v>
      </c>
      <c r="L15" s="55" t="s">
        <v>310</v>
      </c>
      <c r="M15" s="65">
        <v>30</v>
      </c>
      <c r="N15" s="65">
        <v>49</v>
      </c>
      <c r="O15" s="65">
        <v>37</v>
      </c>
      <c r="P15" s="65">
        <v>56</v>
      </c>
      <c r="Q15" s="65">
        <v>45</v>
      </c>
      <c r="R15" s="65">
        <v>26</v>
      </c>
      <c r="S15" s="65">
        <v>46</v>
      </c>
      <c r="T15" s="65">
        <v>49</v>
      </c>
      <c r="U15" s="65">
        <v>29</v>
      </c>
      <c r="V15" s="65">
        <v>25</v>
      </c>
      <c r="W15" s="65">
        <v>18</v>
      </c>
      <c r="X15" s="65">
        <v>17</v>
      </c>
      <c r="Y15" s="65">
        <v>16</v>
      </c>
      <c r="Z15" s="65">
        <v>17</v>
      </c>
      <c r="AA15" s="65">
        <v>69</v>
      </c>
      <c r="AB15" s="65">
        <v>41</v>
      </c>
      <c r="AI15" s="379" t="s">
        <v>309</v>
      </c>
      <c r="AJ15" s="55"/>
    </row>
    <row r="16" spans="2:51" ht="18.75" customHeight="1" x14ac:dyDescent="0.15">
      <c r="B16" s="104" t="s">
        <v>38</v>
      </c>
      <c r="C16" s="113">
        <f>IFERROR(INDEX(阻害要因×在院期間区分[#All],MATCH($AI17,阻害要因×在院期間区分[[#All],[値]],0),MATCH($AJ$4,阻害要因×在院期間区分[#Headers],0)),0)+IFERROR(INDEX(阻害要因×在院期間区分[#All],MATCH($AI17,阻害要因×在院期間区分[[#All],[値]],0),MATCH($AK$4,阻害要因×在院期間区分[#Headers],0)),0)+IFERROR(INDEX(阻害要因×在院期間区分[#All],MATCH($AI17,阻害要因×在院期間区分[[#All],[値]],0),MATCH($AL$4,阻害要因×在院期間区分[#Headers],0)),0)+IFERROR(INDEX(阻害要因×在院期間区分[#All],MATCH($AI17,阻害要因×在院期間区分[[#All],[値]],0),MATCH($AM$4,阻害要因×在院期間区分[#Headers],0)),0)</f>
        <v>25</v>
      </c>
      <c r="D16" s="68">
        <f t="shared" si="1"/>
        <v>4.0518638573743923E-2</v>
      </c>
      <c r="E16" s="69">
        <f>IFERROR(INDEX(阻害要因×在院期間区分[#All],MATCH($AI17,阻害要因×在院期間区分[[#All],[値]],0),MATCH($AN$4,阻害要因×在院期間区分[#Headers],0)),0)+IFERROR(INDEX(阻害要因×在院期間区分[#All],MATCH($AI17,阻害要因×在院期間区分[[#All],[値]],0),MATCH($AO$4,阻害要因×在院期間区分[#Headers],0)),0)+IFERROR(INDEX(阻害要因×在院期間区分[#All],MATCH($AI17,阻害要因×在院期間区分[[#All],[値]],0),MATCH($AP$4,阻害要因×在院期間区分[#Headers],0)),0)+IFERROR(INDEX(阻害要因×在院期間区分[#All],MATCH($AI17,阻害要因×在院期間区分[[#All],[値]],0),MATCH($AQ$4,阻害要因×在院期間区分[#Headers],0)),0)+IFERROR(INDEX(阻害要因×在院期間区分[#All],MATCH($AI17,阻害要因×在院期間区分[[#All],[値]],0),MATCH($AR$4,阻害要因×在院期間区分[#Headers],0)),0)</f>
        <v>33</v>
      </c>
      <c r="F16" s="68">
        <f t="shared" si="2"/>
        <v>5.2969502407704656E-2</v>
      </c>
      <c r="G16" s="69">
        <f>IFERROR(INDEX(阻害要因×在院期間区分[#All],MATCH($AI17,阻害要因×在院期間区分[[#All],[値]],0),MATCH($AS$4,阻害要因×在院期間区分[#Headers],0)),0)+IFERROR(INDEX(阻害要因×在院期間区分[#All],MATCH($AI17,阻害要因×在院期間区分[[#All],[値]],0),MATCH($AT$4,阻害要因×在院期間区分[#Headers],0)),0)+IFERROR(INDEX(阻害要因×在院期間区分[#All],MATCH($AI17,阻害要因×在院期間区分[[#All],[値]],0),MATCH($AU$4,阻害要因×在院期間区分[#Headers],0)),0)+IFERROR(INDEX(阻害要因×在院期間区分[#All],MATCH($AI17,阻害要因×在院期間区分[[#All],[値]],0),MATCH($AV$4,阻害要因×在院期間区分[#Headers],0)),0)+IFERROR(INDEX(阻害要因×在院期間区分[#All],MATCH($AI17,阻害要因×在院期間区分[[#All],[値]],0),MATCH($AW$4,阻害要因×在院期間区分[#Headers],0)),0)</f>
        <v>20</v>
      </c>
      <c r="H16" s="68">
        <f t="shared" si="3"/>
        <v>7.5471698113207544E-2</v>
      </c>
      <c r="I16" s="69">
        <f>IFERROR(INDEX(阻害要因×在院期間区分[#All],MATCH($AI17,阻害要因×在院期間区分[[#All],[値]],0),MATCH($AX$4,阻害要因×在院期間区分[#Headers],0)),0)+IFERROR(INDEX(阻害要因×在院期間区分[#All],MATCH($AI17,阻害要因×在院期間区分[[#All],[値]],0),MATCH($AY$4,阻害要因×在院期間区分[#Headers],0)),0)</f>
        <v>13</v>
      </c>
      <c r="J16" s="68">
        <f t="shared" si="4"/>
        <v>4.0123456790123455E-2</v>
      </c>
      <c r="K16" s="38">
        <f t="shared" si="5"/>
        <v>91</v>
      </c>
      <c r="L16" s="55" t="s">
        <v>166</v>
      </c>
      <c r="M16" s="65">
        <v>5</v>
      </c>
      <c r="N16" s="65">
        <v>11</v>
      </c>
      <c r="O16" s="65">
        <v>3</v>
      </c>
      <c r="P16" s="65">
        <v>6</v>
      </c>
      <c r="Q16" s="65">
        <v>5</v>
      </c>
      <c r="R16" s="65">
        <v>7</v>
      </c>
      <c r="S16" s="65">
        <v>4</v>
      </c>
      <c r="T16" s="65">
        <v>11</v>
      </c>
      <c r="U16" s="65">
        <v>6</v>
      </c>
      <c r="V16" s="65">
        <v>4</v>
      </c>
      <c r="W16" s="65">
        <v>6</v>
      </c>
      <c r="X16" s="65">
        <v>6</v>
      </c>
      <c r="Y16" s="65">
        <v>1</v>
      </c>
      <c r="Z16" s="65">
        <v>3</v>
      </c>
      <c r="AA16" s="65">
        <v>10</v>
      </c>
      <c r="AB16" s="65">
        <v>3</v>
      </c>
      <c r="AI16" s="379" t="s">
        <v>310</v>
      </c>
      <c r="AJ16" s="55"/>
    </row>
    <row r="17" spans="2:36" ht="18.75" customHeight="1" x14ac:dyDescent="0.15">
      <c r="B17" s="104" t="s">
        <v>39</v>
      </c>
      <c r="C17" s="111">
        <f>IFERROR(INDEX(阻害要因×在院期間区分[#All],MATCH($AI18,阻害要因×在院期間区分[[#All],[値]],0),MATCH($AJ$4,阻害要因×在院期間区分[#Headers],0)),0)+IFERROR(INDEX(阻害要因×在院期間区分[#All],MATCH($AI18,阻害要因×在院期間区分[[#All],[値]],0),MATCH($AK$4,阻害要因×在院期間区分[#Headers],0)),0)+IFERROR(INDEX(阻害要因×在院期間区分[#All],MATCH($AI18,阻害要因×在院期間区分[[#All],[値]],0),MATCH($AL$4,阻害要因×在院期間区分[#Headers],0)),0)+IFERROR(INDEX(阻害要因×在院期間区分[#All],MATCH($AI18,阻害要因×在院期間区分[[#All],[値]],0),MATCH($AM$4,阻害要因×在院期間区分[#Headers],0)),0)</f>
        <v>138</v>
      </c>
      <c r="D17" s="68">
        <f t="shared" si="1"/>
        <v>0.22366288492706646</v>
      </c>
      <c r="E17" s="69">
        <f>IFERROR(INDEX(阻害要因×在院期間区分[#All],MATCH($AI18,阻害要因×在院期間区分[[#All],[値]],0),MATCH($AN$4,阻害要因×在院期間区分[#Headers],0)),0)+IFERROR(INDEX(阻害要因×在院期間区分[#All],MATCH($AI18,阻害要因×在院期間区分[[#All],[値]],0),MATCH($AO$4,阻害要因×在院期間区分[#Headers],0)),0)+IFERROR(INDEX(阻害要因×在院期間区分[#All],MATCH($AI18,阻害要因×在院期間区分[[#All],[値]],0),MATCH($AP$4,阻害要因×在院期間区分[#Headers],0)),0)+IFERROR(INDEX(阻害要因×在院期間区分[#All],MATCH($AI18,阻害要因×在院期間区分[[#All],[値]],0),MATCH($AQ$4,阻害要因×在院期間区分[#Headers],0)),0)+IFERROR(INDEX(阻害要因×在院期間区分[#All],MATCH($AI18,阻害要因×在院期間区分[[#All],[値]],0),MATCH($AR$4,阻害要因×在院期間区分[#Headers],0)),0)</f>
        <v>246</v>
      </c>
      <c r="F17" s="68">
        <f t="shared" si="2"/>
        <v>0.39486356340288925</v>
      </c>
      <c r="G17" s="69">
        <f>IFERROR(INDEX(阻害要因×在院期間区分[#All],MATCH($AI18,阻害要因×在院期間区分[[#All],[値]],0),MATCH($AS$4,阻害要因×在院期間区分[#Headers],0)),0)+IFERROR(INDEX(阻害要因×在院期間区分[#All],MATCH($AI18,阻害要因×在院期間区分[[#All],[値]],0),MATCH($AT$4,阻害要因×在院期間区分[#Headers],0)),0)+IFERROR(INDEX(阻害要因×在院期間区分[#All],MATCH($AI18,阻害要因×在院期間区分[[#All],[値]],0),MATCH($AU$4,阻害要因×在院期間区分[#Headers],0)),0)+IFERROR(INDEX(阻害要因×在院期間区分[#All],MATCH($AI18,阻害要因×在院期間区分[[#All],[値]],0),MATCH($AV$4,阻害要因×在院期間区分[#Headers],0)),0)+IFERROR(INDEX(阻害要因×在院期間区分[#All],MATCH($AI18,阻害要因×在院期間区分[[#All],[値]],0),MATCH($AW$4,阻害要因×在院期間区分[#Headers],0)),0)</f>
        <v>116</v>
      </c>
      <c r="H17" s="68">
        <f t="shared" si="3"/>
        <v>0.43773584905660379</v>
      </c>
      <c r="I17" s="69">
        <f>IFERROR(INDEX(阻害要因×在院期間区分[#All],MATCH($AI18,阻害要因×在院期間区分[[#All],[値]],0),MATCH($AX$4,阻害要因×在院期間区分[#Headers],0)),0)+IFERROR(INDEX(阻害要因×在院期間区分[#All],MATCH($AI18,阻害要因×在院期間区分[[#All],[値]],0),MATCH($AY$4,阻害要因×在院期間区分[#Headers],0)),0)</f>
        <v>177</v>
      </c>
      <c r="J17" s="68">
        <f t="shared" si="4"/>
        <v>0.54629629629629628</v>
      </c>
      <c r="K17" s="38">
        <f t="shared" si="5"/>
        <v>677</v>
      </c>
      <c r="L17" s="55" t="s">
        <v>167</v>
      </c>
      <c r="M17" s="65">
        <v>19</v>
      </c>
      <c r="N17" s="65">
        <v>37</v>
      </c>
      <c r="O17" s="65">
        <v>25</v>
      </c>
      <c r="P17" s="65">
        <v>57</v>
      </c>
      <c r="Q17" s="65">
        <v>48</v>
      </c>
      <c r="R17" s="65">
        <v>37</v>
      </c>
      <c r="S17" s="65">
        <v>64</v>
      </c>
      <c r="T17" s="65">
        <v>64</v>
      </c>
      <c r="U17" s="65">
        <v>33</v>
      </c>
      <c r="V17" s="65">
        <v>35</v>
      </c>
      <c r="W17" s="65">
        <v>23</v>
      </c>
      <c r="X17" s="65">
        <v>20</v>
      </c>
      <c r="Y17" s="65">
        <v>21</v>
      </c>
      <c r="Z17" s="65">
        <v>17</v>
      </c>
      <c r="AA17" s="65">
        <v>104</v>
      </c>
      <c r="AB17" s="65">
        <v>73</v>
      </c>
      <c r="AI17" s="379" t="s">
        <v>166</v>
      </c>
      <c r="AJ17" s="55"/>
    </row>
    <row r="18" spans="2:36" ht="18.75" customHeight="1" x14ac:dyDescent="0.15">
      <c r="B18" s="104" t="s">
        <v>40</v>
      </c>
      <c r="C18" s="111">
        <f>IFERROR(INDEX(阻害要因×在院期間区分[#All],MATCH($AI19,阻害要因×在院期間区分[[#All],[値]],0),MATCH($AJ$4,阻害要因×在院期間区分[#Headers],0)),0)+IFERROR(INDEX(阻害要因×在院期間区分[#All],MATCH($AI19,阻害要因×在院期間区分[[#All],[値]],0),MATCH($AK$4,阻害要因×在院期間区分[#Headers],0)),0)+IFERROR(INDEX(阻害要因×在院期間区分[#All],MATCH($AI19,阻害要因×在院期間区分[[#All],[値]],0),MATCH($AL$4,阻害要因×在院期間区分[#Headers],0)),0)+IFERROR(INDEX(阻害要因×在院期間区分[#All],MATCH($AI19,阻害要因×在院期間区分[[#All],[値]],0),MATCH($AM$4,阻害要因×在院期間区分[#Headers],0)),0)</f>
        <v>244</v>
      </c>
      <c r="D18" s="68">
        <f t="shared" si="1"/>
        <v>0.39546191247974066</v>
      </c>
      <c r="E18" s="69">
        <f>IFERROR(INDEX(阻害要因×在院期間区分[#All],MATCH($AI19,阻害要因×在院期間区分[[#All],[値]],0),MATCH($AN$4,阻害要因×在院期間区分[#Headers],0)),0)+IFERROR(INDEX(阻害要因×在院期間区分[#All],MATCH($AI19,阻害要因×在院期間区分[[#All],[値]],0),MATCH($AO$4,阻害要因×在院期間区分[#Headers],0)),0)+IFERROR(INDEX(阻害要因×在院期間区分[#All],MATCH($AI19,阻害要因×在院期間区分[[#All],[値]],0),MATCH($AP$4,阻害要因×在院期間区分[#Headers],0)),0)+IFERROR(INDEX(阻害要因×在院期間区分[#All],MATCH($AI19,阻害要因×在院期間区分[[#All],[値]],0),MATCH($AQ$4,阻害要因×在院期間区分[#Headers],0)),0)+IFERROR(INDEX(阻害要因×在院期間区分[#All],MATCH($AI19,阻害要因×在院期間区分[[#All],[値]],0),MATCH($AR$4,阻害要因×在院期間区分[#Headers],0)),0)</f>
        <v>267</v>
      </c>
      <c r="F18" s="68">
        <f t="shared" si="2"/>
        <v>0.42857142857142855</v>
      </c>
      <c r="G18" s="69">
        <f>IFERROR(INDEX(阻害要因×在院期間区分[#All],MATCH($AI19,阻害要因×在院期間区分[[#All],[値]],0),MATCH($AS$4,阻害要因×在院期間区分[#Headers],0)),0)+IFERROR(INDEX(阻害要因×在院期間区分[#All],MATCH($AI19,阻害要因×在院期間区分[[#All],[値]],0),MATCH($AT$4,阻害要因×在院期間区分[#Headers],0)),0)+IFERROR(INDEX(阻害要因×在院期間区分[#All],MATCH($AI19,阻害要因×在院期間区分[[#All],[値]],0),MATCH($AU$4,阻害要因×在院期間区分[#Headers],0)),0)+IFERROR(INDEX(阻害要因×在院期間区分[#All],MATCH($AI19,阻害要因×在院期間区分[[#All],[値]],0),MATCH($AV$4,阻害要因×在院期間区分[#Headers],0)),0)+IFERROR(INDEX(阻害要因×在院期間区分[#All],MATCH($AI19,阻害要因×在院期間区分[[#All],[値]],0),MATCH($AW$4,阻害要因×在院期間区分[#Headers],0)),0)</f>
        <v>122</v>
      </c>
      <c r="H18" s="68">
        <f t="shared" si="3"/>
        <v>0.46037735849056605</v>
      </c>
      <c r="I18" s="69">
        <f>IFERROR(INDEX(阻害要因×在院期間区分[#All],MATCH($AI19,阻害要因×在院期間区分[[#All],[値]],0),MATCH($AX$4,阻害要因×在院期間区分[#Headers],0)),0)+IFERROR(INDEX(阻害要因×在院期間区分[#All],MATCH($AI19,阻害要因×在院期間区分[[#All],[値]],0),MATCH($AY$4,阻害要因×在院期間区分[#Headers],0)),0)</f>
        <v>173</v>
      </c>
      <c r="J18" s="68">
        <f t="shared" si="4"/>
        <v>0.53395061728395066</v>
      </c>
      <c r="K18" s="38">
        <f t="shared" si="5"/>
        <v>806</v>
      </c>
      <c r="L18" s="55" t="s">
        <v>168</v>
      </c>
      <c r="M18" s="65">
        <v>34</v>
      </c>
      <c r="N18" s="65">
        <v>64</v>
      </c>
      <c r="O18" s="65">
        <v>47</v>
      </c>
      <c r="P18" s="65">
        <v>99</v>
      </c>
      <c r="Q18" s="65">
        <v>60</v>
      </c>
      <c r="R18" s="65">
        <v>39</v>
      </c>
      <c r="S18" s="65">
        <v>66</v>
      </c>
      <c r="T18" s="65">
        <v>59</v>
      </c>
      <c r="U18" s="65">
        <v>43</v>
      </c>
      <c r="V18" s="65">
        <v>35</v>
      </c>
      <c r="W18" s="65">
        <v>26</v>
      </c>
      <c r="X18" s="65">
        <v>19</v>
      </c>
      <c r="Y18" s="65">
        <v>21</v>
      </c>
      <c r="Z18" s="65">
        <v>21</v>
      </c>
      <c r="AA18" s="65">
        <v>106</v>
      </c>
      <c r="AB18" s="65">
        <v>67</v>
      </c>
      <c r="AI18" s="379" t="s">
        <v>167</v>
      </c>
      <c r="AJ18" s="55"/>
    </row>
    <row r="19" spans="2:36" ht="18.75" customHeight="1" x14ac:dyDescent="0.15">
      <c r="B19" s="104" t="s">
        <v>41</v>
      </c>
      <c r="C19" s="120">
        <f>IFERROR(INDEX(阻害要因×在院期間区分[#All],MATCH($AI20,阻害要因×在院期間区分[[#All],[値]],0),MATCH($AJ$4,阻害要因×在院期間区分[#Headers],0)),0)+IFERROR(INDEX(阻害要因×在院期間区分[#All],MATCH($AI20,阻害要因×在院期間区分[[#All],[値]],0),MATCH($AK$4,阻害要因×在院期間区分[#Headers],0)),0)+IFERROR(INDEX(阻害要因×在院期間区分[#All],MATCH($AI20,阻害要因×在院期間区分[[#All],[値]],0),MATCH($AL$4,阻害要因×在院期間区分[#Headers],0)),0)+IFERROR(INDEX(阻害要因×在院期間区分[#All],MATCH($AI20,阻害要因×在院期間区分[[#All],[値]],0),MATCH($AM$4,阻害要因×在院期間区分[#Headers],0)),0)</f>
        <v>131</v>
      </c>
      <c r="D19" s="68">
        <f t="shared" si="1"/>
        <v>0.21231766612641814</v>
      </c>
      <c r="E19" s="71">
        <f>IFERROR(INDEX(阻害要因×在院期間区分[#All],MATCH($AI20,阻害要因×在院期間区分[[#All],[値]],0),MATCH($AN$4,阻害要因×在院期間区分[#Headers],0)),0)+IFERROR(INDEX(阻害要因×在院期間区分[#All],MATCH($AI20,阻害要因×在院期間区分[[#All],[値]],0),MATCH($AO$4,阻害要因×在院期間区分[#Headers],0)),0)+IFERROR(INDEX(阻害要因×在院期間区分[#All],MATCH($AI20,阻害要因×在院期間区分[[#All],[値]],0),MATCH($AP$4,阻害要因×在院期間区分[#Headers],0)),0)+IFERROR(INDEX(阻害要因×在院期間区分[#All],MATCH($AI20,阻害要因×在院期間区分[[#All],[値]],0),MATCH($AQ$4,阻害要因×在院期間区分[#Headers],0)),0)+IFERROR(INDEX(阻害要因×在院期間区分[#All],MATCH($AI20,阻害要因×在院期間区分[[#All],[値]],0),MATCH($AR$4,阻害要因×在院期間区分[#Headers],0)),0)</f>
        <v>170</v>
      </c>
      <c r="F19" s="68">
        <f t="shared" si="2"/>
        <v>0.27287319422150885</v>
      </c>
      <c r="G19" s="71">
        <f>IFERROR(INDEX(阻害要因×在院期間区分[#All],MATCH($AI20,阻害要因×在院期間区分[[#All],[値]],0),MATCH($AS$4,阻害要因×在院期間区分[#Headers],0)),0)+IFERROR(INDEX(阻害要因×在院期間区分[#All],MATCH($AI20,阻害要因×在院期間区分[[#All],[値]],0),MATCH($AT$4,阻害要因×在院期間区分[#Headers],0)),0)+IFERROR(INDEX(阻害要因×在院期間区分[#All],MATCH($AI20,阻害要因×在院期間区分[[#All],[値]],0),MATCH($AU$4,阻害要因×在院期間区分[#Headers],0)),0)+IFERROR(INDEX(阻害要因×在院期間区分[#All],MATCH($AI20,阻害要因×在院期間区分[[#All],[値]],0),MATCH($AV$4,阻害要因×在院期間区分[#Headers],0)),0)+IFERROR(INDEX(阻害要因×在院期間区分[#All],MATCH($AI20,阻害要因×在院期間区分[[#All],[値]],0),MATCH($AW$4,阻害要因×在院期間区分[#Headers],0)),0)</f>
        <v>92</v>
      </c>
      <c r="H19" s="68">
        <f t="shared" si="3"/>
        <v>0.3471698113207547</v>
      </c>
      <c r="I19" s="71">
        <f>IFERROR(INDEX(阻害要因×在院期間区分[#All],MATCH($AI20,阻害要因×在院期間区分[[#All],[値]],0),MATCH($AX$4,阻害要因×在院期間区分[#Headers],0)),0)+IFERROR(INDEX(阻害要因×在院期間区分[#All],MATCH($AI20,阻害要因×在院期間区分[[#All],[値]],0),MATCH($AY$4,阻害要因×在院期間区分[#Headers],0)),0)</f>
        <v>116</v>
      </c>
      <c r="J19" s="68">
        <f t="shared" si="4"/>
        <v>0.35802469135802467</v>
      </c>
      <c r="K19" s="38">
        <f t="shared" si="5"/>
        <v>509</v>
      </c>
      <c r="L19" s="55" t="s">
        <v>169</v>
      </c>
      <c r="M19" s="65">
        <v>12</v>
      </c>
      <c r="N19" s="65">
        <v>37</v>
      </c>
      <c r="O19" s="65">
        <v>22</v>
      </c>
      <c r="P19" s="65">
        <v>60</v>
      </c>
      <c r="Q19" s="65">
        <v>34</v>
      </c>
      <c r="R19" s="65">
        <v>24</v>
      </c>
      <c r="S19" s="65">
        <v>38</v>
      </c>
      <c r="T19" s="65">
        <v>46</v>
      </c>
      <c r="U19" s="65">
        <v>28</v>
      </c>
      <c r="V19" s="65">
        <v>28</v>
      </c>
      <c r="W19" s="65">
        <v>21</v>
      </c>
      <c r="X19" s="65">
        <v>20</v>
      </c>
      <c r="Y19" s="65">
        <v>12</v>
      </c>
      <c r="Z19" s="65">
        <v>11</v>
      </c>
      <c r="AA19" s="65">
        <v>73</v>
      </c>
      <c r="AB19" s="65">
        <v>43</v>
      </c>
      <c r="AI19" s="379" t="s">
        <v>168</v>
      </c>
      <c r="AJ19" s="55"/>
    </row>
    <row r="20" spans="2:36" ht="18.75" customHeight="1" x14ac:dyDescent="0.15">
      <c r="B20" s="104" t="s">
        <v>42</v>
      </c>
      <c r="C20" s="111">
        <f>IFERROR(INDEX(阻害要因×在院期間区分[#All],MATCH($AI21,阻害要因×在院期間区分[[#All],[値]],0),MATCH($AJ$4,阻害要因×在院期間区分[#Headers],0)),0)+IFERROR(INDEX(阻害要因×在院期間区分[#All],MATCH($AI21,阻害要因×在院期間区分[[#All],[値]],0),MATCH($AK$4,阻害要因×在院期間区分[#Headers],0)),0)+IFERROR(INDEX(阻害要因×在院期間区分[#All],MATCH($AI21,阻害要因×在院期間区分[[#All],[値]],0),MATCH($AL$4,阻害要因×在院期間区分[#Headers],0)),0)+IFERROR(INDEX(阻害要因×在院期間区分[#All],MATCH($AI21,阻害要因×在院期間区分[[#All],[値]],0),MATCH($AM$4,阻害要因×在院期間区分[#Headers],0)),0)</f>
        <v>45</v>
      </c>
      <c r="D20" s="68">
        <f t="shared" si="1"/>
        <v>7.2933549432739053E-2</v>
      </c>
      <c r="E20" s="69">
        <f>IFERROR(INDEX(阻害要因×在院期間区分[#All],MATCH($AI21,阻害要因×在院期間区分[[#All],[値]],0),MATCH($AN$4,阻害要因×在院期間区分[#Headers],0)),0)+IFERROR(INDEX(阻害要因×在院期間区分[#All],MATCH($AI21,阻害要因×在院期間区分[[#All],[値]],0),MATCH($AO$4,阻害要因×在院期間区分[#Headers],0)),0)+IFERROR(INDEX(阻害要因×在院期間区分[#All],MATCH($AI21,阻害要因×在院期間区分[[#All],[値]],0),MATCH($AP$4,阻害要因×在院期間区分[#Headers],0)),0)+IFERROR(INDEX(阻害要因×在院期間区分[#All],MATCH($AI21,阻害要因×在院期間区分[[#All],[値]],0),MATCH($AQ$4,阻害要因×在院期間区分[#Headers],0)),0)+IFERROR(INDEX(阻害要因×在院期間区分[#All],MATCH($AI21,阻害要因×在院期間区分[[#All],[値]],0),MATCH($AR$4,阻害要因×在院期間区分[#Headers],0)),0)</f>
        <v>55</v>
      </c>
      <c r="F20" s="68">
        <f t="shared" si="2"/>
        <v>8.8282504012841087E-2</v>
      </c>
      <c r="G20" s="69">
        <f>IFERROR(INDEX(阻害要因×在院期間区分[#All],MATCH($AI21,阻害要因×在院期間区分[[#All],[値]],0),MATCH($AS$4,阻害要因×在院期間区分[#Headers],0)),0)+IFERROR(INDEX(阻害要因×在院期間区分[#All],MATCH($AI21,阻害要因×在院期間区分[[#All],[値]],0),MATCH($AT$4,阻害要因×在院期間区分[#Headers],0)),0)+IFERROR(INDEX(阻害要因×在院期間区分[#All],MATCH($AI21,阻害要因×在院期間区分[[#All],[値]],0),MATCH($AU$4,阻害要因×在院期間区分[#Headers],0)),0)+IFERROR(INDEX(阻害要因×在院期間区分[#All],MATCH($AI21,阻害要因×在院期間区分[[#All],[値]],0),MATCH($AV$4,阻害要因×在院期間区分[#Headers],0)),0)+IFERROR(INDEX(阻害要因×在院期間区分[#All],MATCH($AI21,阻害要因×在院期間区分[[#All],[値]],0),MATCH($AW$4,阻害要因×在院期間区分[#Headers],0)),0)</f>
        <v>19</v>
      </c>
      <c r="H20" s="68">
        <f t="shared" si="3"/>
        <v>7.1698113207547168E-2</v>
      </c>
      <c r="I20" s="69">
        <f>IFERROR(INDEX(阻害要因×在院期間区分[#All],MATCH($AI21,阻害要因×在院期間区分[[#All],[値]],0),MATCH($AX$4,阻害要因×在院期間区分[#Headers],0)),0)+IFERROR(INDEX(阻害要因×在院期間区分[#All],MATCH($AI21,阻害要因×在院期間区分[[#All],[値]],0),MATCH($AY$4,阻害要因×在院期間区分[#Headers],0)),0)</f>
        <v>45</v>
      </c>
      <c r="J20" s="68">
        <f t="shared" si="4"/>
        <v>0.1388888888888889</v>
      </c>
      <c r="K20" s="38">
        <f t="shared" si="5"/>
        <v>164</v>
      </c>
      <c r="L20" s="55" t="s">
        <v>170</v>
      </c>
      <c r="M20" s="65">
        <v>7</v>
      </c>
      <c r="N20" s="65">
        <v>9</v>
      </c>
      <c r="O20" s="65">
        <v>12</v>
      </c>
      <c r="P20" s="65">
        <v>17</v>
      </c>
      <c r="Q20" s="65">
        <v>14</v>
      </c>
      <c r="R20" s="65">
        <v>6</v>
      </c>
      <c r="S20" s="65">
        <v>8</v>
      </c>
      <c r="T20" s="65">
        <v>20</v>
      </c>
      <c r="U20" s="65">
        <v>7</v>
      </c>
      <c r="V20" s="65">
        <v>4</v>
      </c>
      <c r="W20" s="65">
        <v>5</v>
      </c>
      <c r="X20" s="65">
        <v>3</v>
      </c>
      <c r="Y20" s="65">
        <v>4</v>
      </c>
      <c r="Z20" s="65">
        <v>3</v>
      </c>
      <c r="AA20" s="65">
        <v>29</v>
      </c>
      <c r="AB20" s="65">
        <v>16</v>
      </c>
      <c r="AI20" s="379" t="s">
        <v>169</v>
      </c>
    </row>
    <row r="21" spans="2:36" ht="18.75" customHeight="1" x14ac:dyDescent="0.15">
      <c r="B21" s="104" t="s">
        <v>43</v>
      </c>
      <c r="C21" s="111">
        <f>IFERROR(INDEX(阻害要因×在院期間区分[#All],MATCH($AI22,阻害要因×在院期間区分[[#All],[値]],0),MATCH($AJ$4,阻害要因×在院期間区分[#Headers],0)),0)+IFERROR(INDEX(阻害要因×在院期間区分[#All],MATCH($AI22,阻害要因×在院期間区分[[#All],[値]],0),MATCH($AK$4,阻害要因×在院期間区分[#Headers],0)),0)+IFERROR(INDEX(阻害要因×在院期間区分[#All],MATCH($AI22,阻害要因×在院期間区分[[#All],[値]],0),MATCH($AL$4,阻害要因×在院期間区分[#Headers],0)),0)+IFERROR(INDEX(阻害要因×在院期間区分[#All],MATCH($AI22,阻害要因×在院期間区分[[#All],[値]],0),MATCH($AM$4,阻害要因×在院期間区分[#Headers],0)),0)</f>
        <v>200</v>
      </c>
      <c r="D21" s="68">
        <f t="shared" si="1"/>
        <v>0.32414910858995138</v>
      </c>
      <c r="E21" s="69">
        <f>IFERROR(INDEX(阻害要因×在院期間区分[#All],MATCH($AI22,阻害要因×在院期間区分[[#All],[値]],0),MATCH($AN$4,阻害要因×在院期間区分[#Headers],0)),0)+IFERROR(INDEX(阻害要因×在院期間区分[#All],MATCH($AI22,阻害要因×在院期間区分[[#All],[値]],0),MATCH($AO$4,阻害要因×在院期間区分[#Headers],0)),0)+IFERROR(INDEX(阻害要因×在院期間区分[#All],MATCH($AI22,阻害要因×在院期間区分[[#All],[値]],0),MATCH($AP$4,阻害要因×在院期間区分[#Headers],0)),0)+IFERROR(INDEX(阻害要因×在院期間区分[#All],MATCH($AI22,阻害要因×在院期間区分[[#All],[値]],0),MATCH($AQ$4,阻害要因×在院期間区分[#Headers],0)),0)+IFERROR(INDEX(阻害要因×在院期間区分[#All],MATCH($AI22,阻害要因×在院期間区分[[#All],[値]],0),MATCH($AR$4,阻害要因×在院期間区分[#Headers],0)),0)</f>
        <v>216</v>
      </c>
      <c r="F21" s="68">
        <f t="shared" si="2"/>
        <v>0.3467094703049759</v>
      </c>
      <c r="G21" s="69">
        <f>IFERROR(INDEX(阻害要因×在院期間区分[#All],MATCH($AI22,阻害要因×在院期間区分[[#All],[値]],0),MATCH($AS$4,阻害要因×在院期間区分[#Headers],0)),0)+IFERROR(INDEX(阻害要因×在院期間区分[#All],MATCH($AI22,阻害要因×在院期間区分[[#All],[値]],0),MATCH($AT$4,阻害要因×在院期間区分[#Headers],0)),0)+IFERROR(INDEX(阻害要因×在院期間区分[#All],MATCH($AI22,阻害要因×在院期間区分[[#All],[値]],0),MATCH($AU$4,阻害要因×在院期間区分[#Headers],0)),0)+IFERROR(INDEX(阻害要因×在院期間区分[#All],MATCH($AI22,阻害要因×在院期間区分[[#All],[値]],0),MATCH($AV$4,阻害要因×在院期間区分[#Headers],0)),0)+IFERROR(INDEX(阻害要因×在院期間区分[#All],MATCH($AI22,阻害要因×在院期間区分[[#All],[値]],0),MATCH($AW$4,阻害要因×在院期間区分[#Headers],0)),0)</f>
        <v>105</v>
      </c>
      <c r="H21" s="68">
        <f t="shared" si="3"/>
        <v>0.39622641509433965</v>
      </c>
      <c r="I21" s="69">
        <f>IFERROR(INDEX(阻害要因×在院期間区分[#All],MATCH($AI22,阻害要因×在院期間区分[[#All],[値]],0),MATCH($AX$4,阻害要因×在院期間区分[#Headers],0)),0)+IFERROR(INDEX(阻害要因×在院期間区分[#All],MATCH($AI22,阻害要因×在院期間区分[[#All],[値]],0),MATCH($AY$4,阻害要因×在院期間区分[#Headers],0)),0)</f>
        <v>123</v>
      </c>
      <c r="J21" s="68">
        <f t="shared" si="4"/>
        <v>0.37962962962962965</v>
      </c>
      <c r="K21" s="38">
        <f t="shared" si="5"/>
        <v>644</v>
      </c>
      <c r="L21" s="55" t="s">
        <v>171</v>
      </c>
      <c r="M21" s="65">
        <v>25</v>
      </c>
      <c r="N21" s="65">
        <v>58</v>
      </c>
      <c r="O21" s="65">
        <v>39</v>
      </c>
      <c r="P21" s="65">
        <v>78</v>
      </c>
      <c r="Q21" s="65">
        <v>47</v>
      </c>
      <c r="R21" s="65">
        <v>27</v>
      </c>
      <c r="S21" s="65">
        <v>56</v>
      </c>
      <c r="T21" s="65">
        <v>55</v>
      </c>
      <c r="U21" s="65">
        <v>31</v>
      </c>
      <c r="V21" s="65">
        <v>40</v>
      </c>
      <c r="W21" s="65">
        <v>22</v>
      </c>
      <c r="X21" s="65">
        <v>22</v>
      </c>
      <c r="Y21" s="65">
        <v>10</v>
      </c>
      <c r="Z21" s="65">
        <v>11</v>
      </c>
      <c r="AA21" s="65">
        <v>77</v>
      </c>
      <c r="AB21" s="65">
        <v>46</v>
      </c>
      <c r="AI21" s="379" t="s">
        <v>170</v>
      </c>
    </row>
    <row r="22" spans="2:36" ht="18.75" customHeight="1" x14ac:dyDescent="0.15">
      <c r="B22" s="104" t="s">
        <v>44</v>
      </c>
      <c r="C22" s="111">
        <f>IFERROR(INDEX(阻害要因×在院期間区分[#All],MATCH($AI23,阻害要因×在院期間区分[[#All],[値]],0),MATCH($AJ$4,阻害要因×在院期間区分[#Headers],0)),0)+IFERROR(INDEX(阻害要因×在院期間区分[#All],MATCH($AI23,阻害要因×在院期間区分[[#All],[値]],0),MATCH($AK$4,阻害要因×在院期間区分[#Headers],0)),0)+IFERROR(INDEX(阻害要因×在院期間区分[#All],MATCH($AI23,阻害要因×在院期間区分[[#All],[値]],0),MATCH($AL$4,阻害要因×在院期間区分[#Headers],0)),0)+IFERROR(INDEX(阻害要因×在院期間区分[#All],MATCH($AI23,阻害要因×在院期間区分[[#All],[値]],0),MATCH($AM$4,阻害要因×在院期間区分[#Headers],0)),0)</f>
        <v>77</v>
      </c>
      <c r="D22" s="68">
        <f t="shared" si="1"/>
        <v>0.12479740680713128</v>
      </c>
      <c r="E22" s="69">
        <f>IFERROR(INDEX(阻害要因×在院期間区分[#All],MATCH($AI23,阻害要因×在院期間区分[[#All],[値]],0),MATCH($AN$4,阻害要因×在院期間区分[#Headers],0)),0)+IFERROR(INDEX(阻害要因×在院期間区分[#All],MATCH($AI23,阻害要因×在院期間区分[[#All],[値]],0),MATCH($AO$4,阻害要因×在院期間区分[#Headers],0)),0)+IFERROR(INDEX(阻害要因×在院期間区分[#All],MATCH($AI23,阻害要因×在院期間区分[[#All],[値]],0),MATCH($AP$4,阻害要因×在院期間区分[#Headers],0)),0)+IFERROR(INDEX(阻害要因×在院期間区分[#All],MATCH($AI23,阻害要因×在院期間区分[[#All],[値]],0),MATCH($AQ$4,阻害要因×在院期間区分[#Headers],0)),0)+IFERROR(INDEX(阻害要因×在院期間区分[#All],MATCH($AI23,阻害要因×在院期間区分[[#All],[値]],0),MATCH($AR$4,阻害要因×在院期間区分[#Headers],0)),0)</f>
        <v>100</v>
      </c>
      <c r="F22" s="68">
        <f t="shared" si="2"/>
        <v>0.16051364365971107</v>
      </c>
      <c r="G22" s="69">
        <f>IFERROR(INDEX(阻害要因×在院期間区分[#All],MATCH($AI23,阻害要因×在院期間区分[[#All],[値]],0),MATCH($AS$4,阻害要因×在院期間区分[#Headers],0)),0)+IFERROR(INDEX(阻害要因×在院期間区分[#All],MATCH($AI23,阻害要因×在院期間区分[[#All],[値]],0),MATCH($AT$4,阻害要因×在院期間区分[#Headers],0)),0)+IFERROR(INDEX(阻害要因×在院期間区分[#All],MATCH($AI23,阻害要因×在院期間区分[[#All],[値]],0),MATCH($AU$4,阻害要因×在院期間区分[#Headers],0)),0)+IFERROR(INDEX(阻害要因×在院期間区分[#All],MATCH($AI23,阻害要因×在院期間区分[[#All],[値]],0),MATCH($AV$4,阻害要因×在院期間区分[#Headers],0)),0)+IFERROR(INDEX(阻害要因×在院期間区分[#All],MATCH($AI23,阻害要因×在院期間区分[[#All],[値]],0),MATCH($AW$4,阻害要因×在院期間区分[#Headers],0)),0)</f>
        <v>47</v>
      </c>
      <c r="H22" s="68">
        <f t="shared" si="3"/>
        <v>0.17735849056603772</v>
      </c>
      <c r="I22" s="69">
        <f>IFERROR(INDEX(阻害要因×在院期間区分[#All],MATCH($AI23,阻害要因×在院期間区分[[#All],[値]],0),MATCH($AX$4,阻害要因×在院期間区分[#Headers],0)),0)+IFERROR(INDEX(阻害要因×在院期間区分[#All],MATCH($AI23,阻害要因×在院期間区分[[#All],[値]],0),MATCH($AY$4,阻害要因×在院期間区分[#Headers],0)),0)</f>
        <v>71</v>
      </c>
      <c r="J22" s="68">
        <f t="shared" si="4"/>
        <v>0.2191358024691358</v>
      </c>
      <c r="K22" s="38">
        <f t="shared" si="5"/>
        <v>295</v>
      </c>
      <c r="L22" s="55" t="s">
        <v>172</v>
      </c>
      <c r="M22" s="65">
        <v>11</v>
      </c>
      <c r="N22" s="65">
        <v>24</v>
      </c>
      <c r="O22" s="65">
        <v>11</v>
      </c>
      <c r="P22" s="65">
        <v>31</v>
      </c>
      <c r="Q22" s="65">
        <v>27</v>
      </c>
      <c r="R22" s="65">
        <v>12</v>
      </c>
      <c r="S22" s="65">
        <v>25</v>
      </c>
      <c r="T22" s="65">
        <v>24</v>
      </c>
      <c r="U22" s="65">
        <v>12</v>
      </c>
      <c r="V22" s="65">
        <v>11</v>
      </c>
      <c r="W22" s="65">
        <v>12</v>
      </c>
      <c r="X22" s="65">
        <v>8</v>
      </c>
      <c r="Y22" s="65">
        <v>6</v>
      </c>
      <c r="Z22" s="65">
        <v>10</v>
      </c>
      <c r="AA22" s="65">
        <v>47</v>
      </c>
      <c r="AB22" s="65">
        <v>24</v>
      </c>
      <c r="AI22" s="379" t="s">
        <v>171</v>
      </c>
    </row>
    <row r="23" spans="2:36" ht="18.75" customHeight="1" x14ac:dyDescent="0.15">
      <c r="B23" s="104" t="s">
        <v>245</v>
      </c>
      <c r="C23" s="111">
        <f>IFERROR(INDEX(阻害要因×在院期間区分[#All],MATCH($AI24,阻害要因×在院期間区分[[#All],[値]],0),MATCH($AJ$4,阻害要因×在院期間区分[#Headers],0)),0)+IFERROR(INDEX(阻害要因×在院期間区分[#All],MATCH($AI24,阻害要因×在院期間区分[[#All],[値]],0),MATCH($AK$4,阻害要因×在院期間区分[#Headers],0)),0)+IFERROR(INDEX(阻害要因×在院期間区分[#All],MATCH($AI24,阻害要因×在院期間区分[[#All],[値]],0),MATCH($AL$4,阻害要因×在院期間区分[#Headers],0)),0)+IFERROR(INDEX(阻害要因×在院期間区分[#All],MATCH($AI24,阻害要因×在院期間区分[[#All],[値]],0),MATCH($AM$4,阻害要因×在院期間区分[#Headers],0)),0)</f>
        <v>75</v>
      </c>
      <c r="D23" s="68">
        <f t="shared" si="1"/>
        <v>0.12155591572123177</v>
      </c>
      <c r="E23" s="69">
        <f>IFERROR(INDEX(阻害要因×在院期間区分[#All],MATCH($AI24,阻害要因×在院期間区分[[#All],[値]],0),MATCH($AN$4,阻害要因×在院期間区分[#Headers],0)),0)+IFERROR(INDEX(阻害要因×在院期間区分[#All],MATCH($AI24,阻害要因×在院期間区分[[#All],[値]],0),MATCH($AO$4,阻害要因×在院期間区分[#Headers],0)),0)+IFERROR(INDEX(阻害要因×在院期間区分[#All],MATCH($AI24,阻害要因×在院期間区分[[#All],[値]],0),MATCH($AP$4,阻害要因×在院期間区分[#Headers],0)),0)+IFERROR(INDEX(阻害要因×在院期間区分[#All],MATCH($AI24,阻害要因×在院期間区分[[#All],[値]],0),MATCH($AQ$4,阻害要因×在院期間区分[#Headers],0)),0)+IFERROR(INDEX(阻害要因×在院期間区分[#All],MATCH($AI24,阻害要因×在院期間区分[[#All],[値]],0),MATCH($AR$4,阻害要因×在院期間区分[#Headers],0)),0)</f>
        <v>123</v>
      </c>
      <c r="F23" s="68">
        <f t="shared" si="2"/>
        <v>0.19743178170144463</v>
      </c>
      <c r="G23" s="69">
        <f>IFERROR(INDEX(阻害要因×在院期間区分[#All],MATCH($AI24,阻害要因×在院期間区分[[#All],[値]],0),MATCH($AS$4,阻害要因×在院期間区分[#Headers],0)),0)+IFERROR(INDEX(阻害要因×在院期間区分[#All],MATCH($AI24,阻害要因×在院期間区分[[#All],[値]],0),MATCH($AT$4,阻害要因×在院期間区分[#Headers],0)),0)+IFERROR(INDEX(阻害要因×在院期間区分[#All],MATCH($AI24,阻害要因×在院期間区分[[#All],[値]],0),MATCH($AU$4,阻害要因×在院期間区分[#Headers],0)),0)+IFERROR(INDEX(阻害要因×在院期間区分[#All],MATCH($AI24,阻害要因×在院期間区分[[#All],[値]],0),MATCH($AV$4,阻害要因×在院期間区分[#Headers],0)),0)+IFERROR(INDEX(阻害要因×在院期間区分[#All],MATCH($AI24,阻害要因×在院期間区分[[#All],[値]],0),MATCH($AW$4,阻害要因×在院期間区分[#Headers],0)),0)</f>
        <v>67</v>
      </c>
      <c r="H23" s="68">
        <f t="shared" si="3"/>
        <v>0.25283018867924528</v>
      </c>
      <c r="I23" s="69">
        <f>IFERROR(INDEX(阻害要因×在院期間区分[#All],MATCH($AI24,阻害要因×在院期間区分[[#All],[値]],0),MATCH($AX$4,阻害要因×在院期間区分[#Headers],0)),0)+IFERROR(INDEX(阻害要因×在院期間区分[#All],MATCH($AI24,阻害要因×在院期間区分[[#All],[値]],0),MATCH($AY$4,阻害要因×在院期間区分[#Headers],0)),0)</f>
        <v>77</v>
      </c>
      <c r="J23" s="68">
        <f t="shared" si="4"/>
        <v>0.23765432098765432</v>
      </c>
      <c r="K23" s="38">
        <f t="shared" si="5"/>
        <v>342</v>
      </c>
      <c r="L23" s="55" t="s">
        <v>173</v>
      </c>
      <c r="M23" s="65">
        <v>12</v>
      </c>
      <c r="N23" s="65">
        <v>16</v>
      </c>
      <c r="O23" s="65">
        <v>15</v>
      </c>
      <c r="P23" s="65">
        <v>32</v>
      </c>
      <c r="Q23" s="65">
        <v>22</v>
      </c>
      <c r="R23" s="65">
        <v>14</v>
      </c>
      <c r="S23" s="65">
        <v>34</v>
      </c>
      <c r="T23" s="65">
        <v>34</v>
      </c>
      <c r="U23" s="65">
        <v>19</v>
      </c>
      <c r="V23" s="65">
        <v>21</v>
      </c>
      <c r="W23" s="65">
        <v>11</v>
      </c>
      <c r="X23" s="65">
        <v>20</v>
      </c>
      <c r="Y23" s="65">
        <v>8</v>
      </c>
      <c r="Z23" s="65">
        <v>7</v>
      </c>
      <c r="AA23" s="65">
        <v>48</v>
      </c>
      <c r="AB23" s="65">
        <v>29</v>
      </c>
      <c r="AI23" s="379" t="s">
        <v>172</v>
      </c>
    </row>
    <row r="24" spans="2:36" ht="18.75" customHeight="1" x14ac:dyDescent="0.15">
      <c r="B24" s="104" t="s">
        <v>46</v>
      </c>
      <c r="C24" s="111">
        <f>IFERROR(INDEX(阻害要因×在院期間区分[#All],MATCH($AI25,阻害要因×在院期間区分[[#All],[値]],0),MATCH($AJ$4,阻害要因×在院期間区分[#Headers],0)),0)+IFERROR(INDEX(阻害要因×在院期間区分[#All],MATCH($AI25,阻害要因×在院期間区分[[#All],[値]],0),MATCH($AK$4,阻害要因×在院期間区分[#Headers],0)),0)+IFERROR(INDEX(阻害要因×在院期間区分[#All],MATCH($AI25,阻害要因×在院期間区分[[#All],[値]],0),MATCH($AL$4,阻害要因×在院期間区分[#Headers],0)),0)+IFERROR(INDEX(阻害要因×在院期間区分[#All],MATCH($AI25,阻害要因×在院期間区分[[#All],[値]],0),MATCH($AM$4,阻害要因×在院期間区分[#Headers],0)),0)</f>
        <v>241</v>
      </c>
      <c r="D24" s="68">
        <f t="shared" si="1"/>
        <v>0.39059967585089139</v>
      </c>
      <c r="E24" s="69">
        <f>IFERROR(INDEX(阻害要因×在院期間区分[#All],MATCH($AI25,阻害要因×在院期間区分[[#All],[値]],0),MATCH($AN$4,阻害要因×在院期間区分[#Headers],0)),0)+IFERROR(INDEX(阻害要因×在院期間区分[#All],MATCH($AI25,阻害要因×在院期間区分[[#All],[値]],0),MATCH($AO$4,阻害要因×在院期間区分[#Headers],0)),0)+IFERROR(INDEX(阻害要因×在院期間区分[#All],MATCH($AI25,阻害要因×在院期間区分[[#All],[値]],0),MATCH($AP$4,阻害要因×在院期間区分[#Headers],0)),0)+IFERROR(INDEX(阻害要因×在院期間区分[#All],MATCH($AI25,阻害要因×在院期間区分[[#All],[値]],0),MATCH($AQ$4,阻害要因×在院期間区分[#Headers],0)),0)+IFERROR(INDEX(阻害要因×在院期間区分[#All],MATCH($AI25,阻害要因×在院期間区分[[#All],[値]],0),MATCH($AR$4,阻害要因×在院期間区分[#Headers],0)),0)</f>
        <v>217</v>
      </c>
      <c r="F24" s="68">
        <f t="shared" si="2"/>
        <v>0.34831460674157305</v>
      </c>
      <c r="G24" s="69">
        <f>IFERROR(INDEX(阻害要因×在院期間区分[#All],MATCH($AI25,阻害要因×在院期間区分[[#All],[値]],0),MATCH($AS$4,阻害要因×在院期間区分[#Headers],0)),0)+IFERROR(INDEX(阻害要因×在院期間区分[#All],MATCH($AI25,阻害要因×在院期間区分[[#All],[値]],0),MATCH($AT$4,阻害要因×在院期間区分[#Headers],0)),0)+IFERROR(INDEX(阻害要因×在院期間区分[#All],MATCH($AI25,阻害要因×在院期間区分[[#All],[値]],0),MATCH($AU$4,阻害要因×在院期間区分[#Headers],0)),0)+IFERROR(INDEX(阻害要因×在院期間区分[#All],MATCH($AI25,阻害要因×在院期間区分[[#All],[値]],0),MATCH($AV$4,阻害要因×在院期間区分[#Headers],0)),0)+IFERROR(INDEX(阻害要因×在院期間区分[#All],MATCH($AI25,阻害要因×在院期間区分[[#All],[値]],0),MATCH($AW$4,阻害要因×在院期間区分[#Headers],0)),0)</f>
        <v>68</v>
      </c>
      <c r="H24" s="68">
        <f t="shared" si="3"/>
        <v>0.25660377358490566</v>
      </c>
      <c r="I24" s="69">
        <f>IFERROR(INDEX(阻害要因×在院期間区分[#All],MATCH($AI25,阻害要因×在院期間区分[[#All],[値]],0),MATCH($AX$4,阻害要因×在院期間区分[#Headers],0)),0)+IFERROR(INDEX(阻害要因×在院期間区分[#All],MATCH($AI25,阻害要因×在院期間区分[[#All],[値]],0),MATCH($AY$4,阻害要因×在院期間区分[#Headers],0)),0)</f>
        <v>79</v>
      </c>
      <c r="J24" s="68">
        <f t="shared" si="4"/>
        <v>0.24382716049382716</v>
      </c>
      <c r="K24" s="38">
        <f t="shared" si="5"/>
        <v>605</v>
      </c>
      <c r="L24" s="55" t="s">
        <v>174</v>
      </c>
      <c r="M24" s="65">
        <v>35</v>
      </c>
      <c r="N24" s="65">
        <v>70</v>
      </c>
      <c r="O24" s="65">
        <v>51</v>
      </c>
      <c r="P24" s="65">
        <v>85</v>
      </c>
      <c r="Q24" s="65">
        <v>50</v>
      </c>
      <c r="R24" s="65">
        <v>28</v>
      </c>
      <c r="S24" s="65">
        <v>72</v>
      </c>
      <c r="T24" s="65">
        <v>44</v>
      </c>
      <c r="U24" s="65">
        <v>23</v>
      </c>
      <c r="V24" s="65">
        <v>20</v>
      </c>
      <c r="W24" s="65">
        <v>15</v>
      </c>
      <c r="X24" s="65">
        <v>13</v>
      </c>
      <c r="Y24" s="65">
        <v>12</v>
      </c>
      <c r="Z24" s="65">
        <v>8</v>
      </c>
      <c r="AA24" s="65">
        <v>57</v>
      </c>
      <c r="AB24" s="65">
        <v>22</v>
      </c>
      <c r="AI24" s="379" t="s">
        <v>173</v>
      </c>
    </row>
    <row r="25" spans="2:36" ht="18.75" customHeight="1" x14ac:dyDescent="0.15">
      <c r="B25" s="104" t="s">
        <v>47</v>
      </c>
      <c r="C25" s="111">
        <f>IFERROR(INDEX(阻害要因×在院期間区分[#All],MATCH($AI26,阻害要因×在院期間区分[[#All],[値]],0),MATCH($AJ$4,阻害要因×在院期間区分[#Headers],0)),0)+IFERROR(INDEX(阻害要因×在院期間区分[#All],MATCH($AI26,阻害要因×在院期間区分[[#All],[値]],0),MATCH($AK$4,阻害要因×在院期間区分[#Headers],0)),0)+IFERROR(INDEX(阻害要因×在院期間区分[#All],MATCH($AI26,阻害要因×在院期間区分[[#All],[値]],0),MATCH($AL$4,阻害要因×在院期間区分[#Headers],0)),0)+IFERROR(INDEX(阻害要因×在院期間区分[#All],MATCH($AI26,阻害要因×在院期間区分[[#All],[値]],0),MATCH($AM$4,阻害要因×在院期間区分[#Headers],0)),0)</f>
        <v>41</v>
      </c>
      <c r="D25" s="68">
        <f t="shared" si="1"/>
        <v>6.6450567260940036E-2</v>
      </c>
      <c r="E25" s="69">
        <f>IFERROR(INDEX(阻害要因×在院期間区分[#All],MATCH($AI26,阻害要因×在院期間区分[[#All],[値]],0),MATCH($AN$4,阻害要因×在院期間区分[#Headers],0)),0)+IFERROR(INDEX(阻害要因×在院期間区分[#All],MATCH($AI26,阻害要因×在院期間区分[[#All],[値]],0),MATCH($AO$4,阻害要因×在院期間区分[#Headers],0)),0)+IFERROR(INDEX(阻害要因×在院期間区分[#All],MATCH($AI26,阻害要因×在院期間区分[[#All],[値]],0),MATCH($AP$4,阻害要因×在院期間区分[#Headers],0)),0)+IFERROR(INDEX(阻害要因×在院期間区分[#All],MATCH($AI26,阻害要因×在院期間区分[[#All],[値]],0),MATCH($AQ$4,阻害要因×在院期間区分[#Headers],0)),0)+IFERROR(INDEX(阻害要因×在院期間区分[#All],MATCH($AI26,阻害要因×在院期間区分[[#All],[値]],0),MATCH($AR$4,阻害要因×在院期間区分[#Headers],0)),0)</f>
        <v>46</v>
      </c>
      <c r="F25" s="68">
        <f t="shared" si="2"/>
        <v>7.3836276083467101E-2</v>
      </c>
      <c r="G25" s="69">
        <f>IFERROR(INDEX(阻害要因×在院期間区分[#All],MATCH($AI26,阻害要因×在院期間区分[[#All],[値]],0),MATCH($AS$4,阻害要因×在院期間区分[#Headers],0)),0)+IFERROR(INDEX(阻害要因×在院期間区分[#All],MATCH($AI26,阻害要因×在院期間区分[[#All],[値]],0),MATCH($AT$4,阻害要因×在院期間区分[#Headers],0)),0)+IFERROR(INDEX(阻害要因×在院期間区分[#All],MATCH($AI26,阻害要因×在院期間区分[[#All],[値]],0),MATCH($AU$4,阻害要因×在院期間区分[#Headers],0)),0)+IFERROR(INDEX(阻害要因×在院期間区分[#All],MATCH($AI26,阻害要因×在院期間区分[[#All],[値]],0),MATCH($AV$4,阻害要因×在院期間区分[#Headers],0)),0)+IFERROR(INDEX(阻害要因×在院期間区分[#All],MATCH($AI26,阻害要因×在院期間区分[[#All],[値]],0),MATCH($AW$4,阻害要因×在院期間区分[#Headers],0)),0)</f>
        <v>21</v>
      </c>
      <c r="H25" s="68">
        <f t="shared" si="3"/>
        <v>7.9245283018867921E-2</v>
      </c>
      <c r="I25" s="69">
        <f>IFERROR(INDEX(阻害要因×在院期間区分[#All],MATCH($AI26,阻害要因×在院期間区分[[#All],[値]],0),MATCH($AX$4,阻害要因×在院期間区分[#Headers],0)),0)+IFERROR(INDEX(阻害要因×在院期間区分[#All],MATCH($AI26,阻害要因×在院期間区分[[#All],[値]],0),MATCH($AY$4,阻害要因×在院期間区分[#Headers],0)),0)</f>
        <v>13</v>
      </c>
      <c r="J25" s="68">
        <f t="shared" si="4"/>
        <v>4.0123456790123455E-2</v>
      </c>
      <c r="K25" s="38">
        <f t="shared" si="5"/>
        <v>121</v>
      </c>
      <c r="L25" s="55" t="s">
        <v>175</v>
      </c>
      <c r="M25" s="65">
        <v>6</v>
      </c>
      <c r="N25" s="65">
        <v>11</v>
      </c>
      <c r="O25" s="65">
        <v>9</v>
      </c>
      <c r="P25" s="65">
        <v>15</v>
      </c>
      <c r="Q25" s="65">
        <v>6</v>
      </c>
      <c r="R25" s="65">
        <v>8</v>
      </c>
      <c r="S25" s="65">
        <v>16</v>
      </c>
      <c r="T25" s="65">
        <v>8</v>
      </c>
      <c r="U25" s="65">
        <v>8</v>
      </c>
      <c r="V25" s="65">
        <v>4</v>
      </c>
      <c r="W25" s="65">
        <v>7</v>
      </c>
      <c r="X25" s="65">
        <v>3</v>
      </c>
      <c r="Y25" s="65">
        <v>5</v>
      </c>
      <c r="Z25" s="65">
        <v>2</v>
      </c>
      <c r="AA25" s="65">
        <v>9</v>
      </c>
      <c r="AB25" s="65">
        <v>4</v>
      </c>
      <c r="AI25" s="379" t="s">
        <v>174</v>
      </c>
    </row>
    <row r="26" spans="2:36" ht="18.75" customHeight="1" x14ac:dyDescent="0.15">
      <c r="B26" s="104" t="s">
        <v>48</v>
      </c>
      <c r="C26" s="111">
        <f>IFERROR(INDEX(阻害要因×在院期間区分[#All],MATCH($AI27,阻害要因×在院期間区分[[#All],[値]],0),MATCH($AJ$4,阻害要因×在院期間区分[#Headers],0)),0)+IFERROR(INDEX(阻害要因×在院期間区分[#All],MATCH($AI27,阻害要因×在院期間区分[[#All],[値]],0),MATCH($AK$4,阻害要因×在院期間区分[#Headers],0)),0)+IFERROR(INDEX(阻害要因×在院期間区分[#All],MATCH($AI27,阻害要因×在院期間区分[[#All],[値]],0),MATCH($AL$4,阻害要因×在院期間区分[#Headers],0)),0)+IFERROR(INDEX(阻害要因×在院期間区分[#All],MATCH($AI27,阻害要因×在院期間区分[[#All],[値]],0),MATCH($AM$4,阻害要因×在院期間区分[#Headers],0)),0)</f>
        <v>28</v>
      </c>
      <c r="D26" s="68">
        <f t="shared" si="1"/>
        <v>4.5380875202593193E-2</v>
      </c>
      <c r="E26" s="69">
        <f>IFERROR(INDEX(阻害要因×在院期間区分[#All],MATCH($AI27,阻害要因×在院期間区分[[#All],[値]],0),MATCH($AN$4,阻害要因×在院期間区分[#Headers],0)),0)+IFERROR(INDEX(阻害要因×在院期間区分[#All],MATCH($AI27,阻害要因×在院期間区分[[#All],[値]],0),MATCH($AO$4,阻害要因×在院期間区分[#Headers],0)),0)+IFERROR(INDEX(阻害要因×在院期間区分[#All],MATCH($AI27,阻害要因×在院期間区分[[#All],[値]],0),MATCH($AP$4,阻害要因×在院期間区分[#Headers],0)),0)+IFERROR(INDEX(阻害要因×在院期間区分[#All],MATCH($AI27,阻害要因×在院期間区分[[#All],[値]],0),MATCH($AQ$4,阻害要因×在院期間区分[#Headers],0)),0)+IFERROR(INDEX(阻害要因×在院期間区分[#All],MATCH($AI27,阻害要因×在院期間区分[[#All],[値]],0),MATCH($AR$4,阻害要因×在院期間区分[#Headers],0)),0)</f>
        <v>25</v>
      </c>
      <c r="F26" s="68">
        <f t="shared" si="2"/>
        <v>4.0128410914927769E-2</v>
      </c>
      <c r="G26" s="69">
        <f>IFERROR(INDEX(阻害要因×在院期間区分[#All],MATCH($AI27,阻害要因×在院期間区分[[#All],[値]],0),MATCH($AS$4,阻害要因×在院期間区分[#Headers],0)),0)+IFERROR(INDEX(阻害要因×在院期間区分[#All],MATCH($AI27,阻害要因×在院期間区分[[#All],[値]],0),MATCH($AT$4,阻害要因×在院期間区分[#Headers],0)),0)+IFERROR(INDEX(阻害要因×在院期間区分[#All],MATCH($AI27,阻害要因×在院期間区分[[#All],[値]],0),MATCH($AU$4,阻害要因×在院期間区分[#Headers],0)),0)+IFERROR(INDEX(阻害要因×在院期間区分[#All],MATCH($AI27,阻害要因×在院期間区分[[#All],[値]],0),MATCH($AV$4,阻害要因×在院期間区分[#Headers],0)),0)+IFERROR(INDEX(阻害要因×在院期間区分[#All],MATCH($AI27,阻害要因×在院期間区分[[#All],[値]],0),MATCH($AW$4,阻害要因×在院期間区分[#Headers],0)),0)</f>
        <v>7</v>
      </c>
      <c r="H26" s="68">
        <f t="shared" si="3"/>
        <v>2.6415094339622643E-2</v>
      </c>
      <c r="I26" s="69">
        <f>IFERROR(INDEX(阻害要因×在院期間区分[#All],MATCH($AI27,阻害要因×在院期間区分[[#All],[値]],0),MATCH($AX$4,阻害要因×在院期間区分[#Headers],0)),0)+IFERROR(INDEX(阻害要因×在院期間区分[#All],MATCH($AI27,阻害要因×在院期間区分[[#All],[値]],0),MATCH($AY$4,阻害要因×在院期間区分[#Headers],0)),0)</f>
        <v>10</v>
      </c>
      <c r="J26" s="68">
        <f t="shared" si="4"/>
        <v>3.0864197530864196E-2</v>
      </c>
      <c r="K26" s="38">
        <f t="shared" si="5"/>
        <v>70</v>
      </c>
      <c r="L26" s="55" t="s">
        <v>176</v>
      </c>
      <c r="M26" s="65">
        <v>5</v>
      </c>
      <c r="N26" s="65">
        <v>5</v>
      </c>
      <c r="O26" s="65">
        <v>6</v>
      </c>
      <c r="P26" s="65">
        <v>12</v>
      </c>
      <c r="Q26" s="65">
        <v>2</v>
      </c>
      <c r="R26" s="65">
        <v>3</v>
      </c>
      <c r="S26" s="65">
        <v>10</v>
      </c>
      <c r="T26" s="65">
        <v>8</v>
      </c>
      <c r="U26" s="65">
        <v>2</v>
      </c>
      <c r="V26" s="65">
        <v>3</v>
      </c>
      <c r="W26" s="65">
        <v>3</v>
      </c>
      <c r="X26" s="65">
        <v>1</v>
      </c>
      <c r="Y26" s="65">
        <v>0</v>
      </c>
      <c r="Z26" s="65">
        <v>0</v>
      </c>
      <c r="AA26" s="65">
        <v>4</v>
      </c>
      <c r="AB26" s="65">
        <v>6</v>
      </c>
      <c r="AI26" s="379" t="s">
        <v>175</v>
      </c>
    </row>
    <row r="27" spans="2:36" ht="18.75" customHeight="1" x14ac:dyDescent="0.15">
      <c r="B27" s="104" t="s">
        <v>49</v>
      </c>
      <c r="C27" s="113">
        <f>IFERROR(INDEX(阻害要因×在院期間区分[#All],MATCH($AI28,阻害要因×在院期間区分[[#All],[値]],0),MATCH($AJ$4,阻害要因×在院期間区分[#Headers],0)),0)+IFERROR(INDEX(阻害要因×在院期間区分[#All],MATCH($AI28,阻害要因×在院期間区分[[#All],[値]],0),MATCH($AK$4,阻害要因×在院期間区分[#Headers],0)),0)+IFERROR(INDEX(阻害要因×在院期間区分[#All],MATCH($AI28,阻害要因×在院期間区分[[#All],[値]],0),MATCH($AL$4,阻害要因×在院期間区分[#Headers],0)),0)+IFERROR(INDEX(阻害要因×在院期間区分[#All],MATCH($AI28,阻害要因×在院期間区分[[#All],[値]],0),MATCH($AM$4,阻害要因×在院期間区分[#Headers],0)),0)</f>
        <v>2</v>
      </c>
      <c r="D27" s="68">
        <f t="shared" si="1"/>
        <v>3.2414910858995136E-3</v>
      </c>
      <c r="E27" s="67">
        <f>IFERROR(INDEX(阻害要因×在院期間区分[#All],MATCH($AI28,阻害要因×在院期間区分[[#All],[値]],0),MATCH($AN$4,阻害要因×在院期間区分[#Headers],0)),0)+IFERROR(INDEX(阻害要因×在院期間区分[#All],MATCH($AI28,阻害要因×在院期間区分[[#All],[値]],0),MATCH($AO$4,阻害要因×在院期間区分[#Headers],0)),0)+IFERROR(INDEX(阻害要因×在院期間区分[#All],MATCH($AI28,阻害要因×在院期間区分[[#All],[値]],0),MATCH($AP$4,阻害要因×在院期間区分[#Headers],0)),0)+IFERROR(INDEX(阻害要因×在院期間区分[#All],MATCH($AI28,阻害要因×在院期間区分[[#All],[値]],0),MATCH($AQ$4,阻害要因×在院期間区分[#Headers],0)),0)+IFERROR(INDEX(阻害要因×在院期間区分[#All],MATCH($AI28,阻害要因×在院期間区分[[#All],[値]],0),MATCH($AR$4,阻害要因×在院期間区分[#Headers],0)),0)</f>
        <v>3</v>
      </c>
      <c r="F27" s="68">
        <f t="shared" si="2"/>
        <v>4.815409309791332E-3</v>
      </c>
      <c r="G27" s="67">
        <f>IFERROR(INDEX(阻害要因×在院期間区分[#All],MATCH($AI28,阻害要因×在院期間区分[[#All],[値]],0),MATCH($AS$4,阻害要因×在院期間区分[#Headers],0)),0)+IFERROR(INDEX(阻害要因×在院期間区分[#All],MATCH($AI28,阻害要因×在院期間区分[[#All],[値]],0),MATCH($AT$4,阻害要因×在院期間区分[#Headers],0)),0)+IFERROR(INDEX(阻害要因×在院期間区分[#All],MATCH($AI28,阻害要因×在院期間区分[[#All],[値]],0),MATCH($AU$4,阻害要因×在院期間区分[#Headers],0)),0)+IFERROR(INDEX(阻害要因×在院期間区分[#All],MATCH($AI28,阻害要因×在院期間区分[[#All],[値]],0),MATCH($AV$4,阻害要因×在院期間区分[#Headers],0)),0)+IFERROR(INDEX(阻害要因×在院期間区分[#All],MATCH($AI28,阻害要因×在院期間区分[[#All],[値]],0),MATCH($AW$4,阻害要因×在院期間区分[#Headers],0)),0)</f>
        <v>1</v>
      </c>
      <c r="H27" s="68">
        <f t="shared" si="3"/>
        <v>3.7735849056603774E-3</v>
      </c>
      <c r="I27" s="67">
        <f>IFERROR(INDEX(阻害要因×在院期間区分[#All],MATCH($AI28,阻害要因×在院期間区分[[#All],[値]],0),MATCH($AX$4,阻害要因×在院期間区分[#Headers],0)),0)+IFERROR(INDEX(阻害要因×在院期間区分[#All],MATCH($AI28,阻害要因×在院期間区分[[#All],[値]],0),MATCH($AY$4,阻害要因×在院期間区分[#Headers],0)),0)</f>
        <v>0</v>
      </c>
      <c r="J27" s="68">
        <f t="shared" si="4"/>
        <v>0</v>
      </c>
      <c r="K27" s="38">
        <f t="shared" si="5"/>
        <v>6</v>
      </c>
      <c r="L27" s="55" t="s">
        <v>177</v>
      </c>
      <c r="M27" s="65">
        <v>0</v>
      </c>
      <c r="N27" s="65">
        <v>0</v>
      </c>
      <c r="O27" s="65">
        <v>1</v>
      </c>
      <c r="P27" s="65">
        <v>1</v>
      </c>
      <c r="Q27" s="65">
        <v>0</v>
      </c>
      <c r="R27" s="65">
        <v>2</v>
      </c>
      <c r="S27" s="65">
        <v>1</v>
      </c>
      <c r="T27" s="65">
        <v>0</v>
      </c>
      <c r="U27" s="65">
        <v>0</v>
      </c>
      <c r="V27" s="65">
        <v>0</v>
      </c>
      <c r="W27" s="65">
        <v>0</v>
      </c>
      <c r="X27" s="65">
        <v>1</v>
      </c>
      <c r="Y27" s="65">
        <v>0</v>
      </c>
      <c r="Z27" s="65">
        <v>0</v>
      </c>
      <c r="AA27" s="65">
        <v>0</v>
      </c>
      <c r="AB27" s="65">
        <v>0</v>
      </c>
      <c r="AI27" s="379" t="s">
        <v>176</v>
      </c>
    </row>
    <row r="28" spans="2:36" ht="18.75" customHeight="1" x14ac:dyDescent="0.15">
      <c r="B28" s="104" t="s">
        <v>50</v>
      </c>
      <c r="C28" s="111">
        <f>IFERROR(INDEX(阻害要因×在院期間区分[#All],MATCH($AI29,阻害要因×在院期間区分[[#All],[値]],0),MATCH($AJ$4,阻害要因×在院期間区分[#Headers],0)),0)+IFERROR(INDEX(阻害要因×在院期間区分[#All],MATCH($AI29,阻害要因×在院期間区分[[#All],[値]],0),MATCH($AK$4,阻害要因×在院期間区分[#Headers],0)),0)+IFERROR(INDEX(阻害要因×在院期間区分[#All],MATCH($AI29,阻害要因×在院期間区分[[#All],[値]],0),MATCH($AL$4,阻害要因×在院期間区分[#Headers],0)),0)+IFERROR(INDEX(阻害要因×在院期間区分[#All],MATCH($AI29,阻害要因×在院期間区分[[#All],[値]],0),MATCH($AM$4,阻害要因×在院期間区分[#Headers],0)),0)</f>
        <v>56</v>
      </c>
      <c r="D28" s="68">
        <f t="shared" si="1"/>
        <v>9.0761750405186387E-2</v>
      </c>
      <c r="E28" s="69">
        <f>IFERROR(INDEX(阻害要因×在院期間区分[#All],MATCH($AI29,阻害要因×在院期間区分[[#All],[値]],0),MATCH($AN$4,阻害要因×在院期間区分[#Headers],0)),0)+IFERROR(INDEX(阻害要因×在院期間区分[#All],MATCH($AI29,阻害要因×在院期間区分[[#All],[値]],0),MATCH($AO$4,阻害要因×在院期間区分[#Headers],0)),0)+IFERROR(INDEX(阻害要因×在院期間区分[#All],MATCH($AI29,阻害要因×在院期間区分[[#All],[値]],0),MATCH($AP$4,阻害要因×在院期間区分[#Headers],0)),0)+IFERROR(INDEX(阻害要因×在院期間区分[#All],MATCH($AI29,阻害要因×在院期間区分[[#All],[値]],0),MATCH($AQ$4,阻害要因×在院期間区分[#Headers],0)),0)+IFERROR(INDEX(阻害要因×在院期間区分[#All],MATCH($AI29,阻害要因×在院期間区分[[#All],[値]],0),MATCH($AR$4,阻害要因×在院期間区分[#Headers],0)),0)</f>
        <v>52</v>
      </c>
      <c r="F28" s="68">
        <f t="shared" si="2"/>
        <v>8.3467094703049763E-2</v>
      </c>
      <c r="G28" s="69">
        <f>IFERROR(INDEX(阻害要因×在院期間区分[#All],MATCH($AI29,阻害要因×在院期間区分[[#All],[値]],0),MATCH($AS$4,阻害要因×在院期間区分[#Headers],0)),0)+IFERROR(INDEX(阻害要因×在院期間区分[#All],MATCH($AI29,阻害要因×在院期間区分[[#All],[値]],0),MATCH($AT$4,阻害要因×在院期間区分[#Headers],0)),0)+IFERROR(INDEX(阻害要因×在院期間区分[#All],MATCH($AI29,阻害要因×在院期間区分[[#All],[値]],0),MATCH($AU$4,阻害要因×在院期間区分[#Headers],0)),0)+IFERROR(INDEX(阻害要因×在院期間区分[#All],MATCH($AI29,阻害要因×在院期間区分[[#All],[値]],0),MATCH($AV$4,阻害要因×在院期間区分[#Headers],0)),0)+IFERROR(INDEX(阻害要因×在院期間区分[#All],MATCH($AI29,阻害要因×在院期間区分[[#All],[値]],0),MATCH($AW$4,阻害要因×在院期間区分[#Headers],0)),0)</f>
        <v>18</v>
      </c>
      <c r="H28" s="68">
        <f t="shared" si="3"/>
        <v>6.7924528301886791E-2</v>
      </c>
      <c r="I28" s="69">
        <f>IFERROR(INDEX(阻害要因×在院期間区分[#All],MATCH($AI29,阻害要因×在院期間区分[[#All],[値]],0),MATCH($AX$4,阻害要因×在院期間区分[#Headers],0)),0)+IFERROR(INDEX(阻害要因×在院期間区分[#All],MATCH($AI29,阻害要因×在院期間区分[[#All],[値]],0),MATCH($AY$4,阻害要因×在院期間区分[#Headers],0)),0)</f>
        <v>23</v>
      </c>
      <c r="J28" s="68">
        <f t="shared" si="4"/>
        <v>7.098765432098765E-2</v>
      </c>
      <c r="K28" s="38">
        <f t="shared" si="5"/>
        <v>149</v>
      </c>
      <c r="L28" s="55" t="s">
        <v>178</v>
      </c>
      <c r="M28" s="65">
        <v>8</v>
      </c>
      <c r="N28" s="65">
        <v>14</v>
      </c>
      <c r="O28" s="65">
        <v>11</v>
      </c>
      <c r="P28" s="65">
        <v>23</v>
      </c>
      <c r="Q28" s="65">
        <v>9</v>
      </c>
      <c r="R28" s="65">
        <v>7</v>
      </c>
      <c r="S28" s="65">
        <v>14</v>
      </c>
      <c r="T28" s="65">
        <v>10</v>
      </c>
      <c r="U28" s="65">
        <v>12</v>
      </c>
      <c r="V28" s="65">
        <v>3</v>
      </c>
      <c r="W28" s="65">
        <v>3</v>
      </c>
      <c r="X28" s="65">
        <v>6</v>
      </c>
      <c r="Y28" s="65">
        <v>4</v>
      </c>
      <c r="Z28" s="65">
        <v>2</v>
      </c>
      <c r="AA28" s="65">
        <v>20</v>
      </c>
      <c r="AB28" s="65">
        <v>3</v>
      </c>
      <c r="AI28" s="379" t="s">
        <v>177</v>
      </c>
    </row>
    <row r="29" spans="2:36" ht="18.75" customHeight="1" x14ac:dyDescent="0.15">
      <c r="B29" s="104" t="s">
        <v>51</v>
      </c>
      <c r="C29" s="111">
        <f>IFERROR(INDEX(阻害要因×在院期間区分[#All],MATCH($AI30,阻害要因×在院期間区分[[#All],[値]],0),MATCH($AJ$4,阻害要因×在院期間区分[#Headers],0)),0)+IFERROR(INDEX(阻害要因×在院期間区分[#All],MATCH($AI30,阻害要因×在院期間区分[[#All],[値]],0),MATCH($AK$4,阻害要因×在院期間区分[#Headers],0)),0)+IFERROR(INDEX(阻害要因×在院期間区分[#All],MATCH($AI30,阻害要因×在院期間区分[[#All],[値]],0),MATCH($AL$4,阻害要因×在院期間区分[#Headers],0)),0)+IFERROR(INDEX(阻害要因×在院期間区分[#All],MATCH($AI30,阻害要因×在院期間区分[[#All],[値]],0),MATCH($AM$4,阻害要因×在院期間区分[#Headers],0)),0)</f>
        <v>49</v>
      </c>
      <c r="D29" s="68">
        <f t="shared" si="1"/>
        <v>7.9416531604538085E-2</v>
      </c>
      <c r="E29" s="69">
        <f>IFERROR(INDEX(阻害要因×在院期間区分[#All],MATCH($AI30,阻害要因×在院期間区分[[#All],[値]],0),MATCH($AN$4,阻害要因×在院期間区分[#Headers],0)),0)+IFERROR(INDEX(阻害要因×在院期間区分[#All],MATCH($AI30,阻害要因×在院期間区分[[#All],[値]],0),MATCH($AO$4,阻害要因×在院期間区分[#Headers],0)),0)+IFERROR(INDEX(阻害要因×在院期間区分[#All],MATCH($AI30,阻害要因×在院期間区分[[#All],[値]],0),MATCH($AP$4,阻害要因×在院期間区分[#Headers],0)),0)+IFERROR(INDEX(阻害要因×在院期間区分[#All],MATCH($AI30,阻害要因×在院期間区分[[#All],[値]],0),MATCH($AQ$4,阻害要因×在院期間区分[#Headers],0)),0)+IFERROR(INDEX(阻害要因×在院期間区分[#All],MATCH($AI30,阻害要因×在院期間区分[[#All],[値]],0),MATCH($AR$4,阻害要因×在院期間区分[#Headers],0)),0)</f>
        <v>40</v>
      </c>
      <c r="F29" s="68">
        <f t="shared" si="2"/>
        <v>6.4205457463884424E-2</v>
      </c>
      <c r="G29" s="69">
        <f>IFERROR(INDEX(阻害要因×在院期間区分[#All],MATCH($AI30,阻害要因×在院期間区分[[#All],[値]],0),MATCH($AS$4,阻害要因×在院期間区分[#Headers],0)),0)+IFERROR(INDEX(阻害要因×在院期間区分[#All],MATCH($AI30,阻害要因×在院期間区分[[#All],[値]],0),MATCH($AT$4,阻害要因×在院期間区分[#Headers],0)),0)+IFERROR(INDEX(阻害要因×在院期間区分[#All],MATCH($AI30,阻害要因×在院期間区分[[#All],[値]],0),MATCH($AU$4,阻害要因×在院期間区分[#Headers],0)),0)+IFERROR(INDEX(阻害要因×在院期間区分[#All],MATCH($AI30,阻害要因×在院期間区分[[#All],[値]],0),MATCH($AV$4,阻害要因×在院期間区分[#Headers],0)),0)+IFERROR(INDEX(阻害要因×在院期間区分[#All],MATCH($AI30,阻害要因×在院期間区分[[#All],[値]],0),MATCH($AW$4,阻害要因×在院期間区分[#Headers],0)),0)</f>
        <v>21</v>
      </c>
      <c r="H29" s="68">
        <f t="shared" si="3"/>
        <v>7.9245283018867921E-2</v>
      </c>
      <c r="I29" s="69">
        <f>IFERROR(INDEX(阻害要因×在院期間区分[#All],MATCH($AI30,阻害要因×在院期間区分[[#All],[値]],0),MATCH($AX$4,阻害要因×在院期間区分[#Headers],0)),0)+IFERROR(INDEX(阻害要因×在院期間区分[#All],MATCH($AI30,阻害要因×在院期間区分[[#All],[値]],0),MATCH($AY$4,阻害要因×在院期間区分[#Headers],0)),0)</f>
        <v>21</v>
      </c>
      <c r="J29" s="68">
        <f t="shared" si="4"/>
        <v>6.4814814814814811E-2</v>
      </c>
      <c r="K29" s="38">
        <f t="shared" si="5"/>
        <v>131</v>
      </c>
      <c r="L29" s="55" t="s">
        <v>179</v>
      </c>
      <c r="M29" s="65">
        <v>6</v>
      </c>
      <c r="N29" s="65">
        <v>17</v>
      </c>
      <c r="O29" s="65">
        <v>10</v>
      </c>
      <c r="P29" s="65">
        <v>16</v>
      </c>
      <c r="Q29" s="65">
        <v>2</v>
      </c>
      <c r="R29" s="65">
        <v>4</v>
      </c>
      <c r="S29" s="65">
        <v>13</v>
      </c>
      <c r="T29" s="65">
        <v>15</v>
      </c>
      <c r="U29" s="65">
        <v>6</v>
      </c>
      <c r="V29" s="65">
        <v>3</v>
      </c>
      <c r="W29" s="65">
        <v>3</v>
      </c>
      <c r="X29" s="65">
        <v>11</v>
      </c>
      <c r="Y29" s="65">
        <v>4</v>
      </c>
      <c r="Z29" s="65">
        <v>0</v>
      </c>
      <c r="AA29" s="65">
        <v>16</v>
      </c>
      <c r="AB29" s="65">
        <v>5</v>
      </c>
      <c r="AI29" s="379" t="s">
        <v>178</v>
      </c>
    </row>
    <row r="30" spans="2:36" ht="18.75" customHeight="1" x14ac:dyDescent="0.15">
      <c r="B30" s="104" t="s">
        <v>247</v>
      </c>
      <c r="C30" s="111">
        <f>IFERROR(INDEX(阻害要因×在院期間区分[#All],MATCH($AI31,阻害要因×在院期間区分[[#All],[値]],0),MATCH($AJ$4,阻害要因×在院期間区分[#Headers],0)),0)+IFERROR(INDEX(阻害要因×在院期間区分[#All],MATCH($AI31,阻害要因×在院期間区分[[#All],[値]],0),MATCH($AK$4,阻害要因×在院期間区分[#Headers],0)),0)+IFERROR(INDEX(阻害要因×在院期間区分[#All],MATCH($AI31,阻害要因×在院期間区分[[#All],[値]],0),MATCH($AL$4,阻害要因×在院期間区分[#Headers],0)),0)+IFERROR(INDEX(阻害要因×在院期間区分[#All],MATCH($AI31,阻害要因×在院期間区分[[#All],[値]],0),MATCH($AM$4,阻害要因×在院期間区分[#Headers],0)),0)</f>
        <v>12</v>
      </c>
      <c r="D30" s="68">
        <f t="shared" si="1"/>
        <v>1.9448946515397084E-2</v>
      </c>
      <c r="E30" s="69">
        <f>IFERROR(INDEX(阻害要因×在院期間区分[#All],MATCH($AI31,阻害要因×在院期間区分[[#All],[値]],0),MATCH($AN$4,阻害要因×在院期間区分[#Headers],0)),0)+IFERROR(INDEX(阻害要因×在院期間区分[#All],MATCH($AI31,阻害要因×在院期間区分[[#All],[値]],0),MATCH($AO$4,阻害要因×在院期間区分[#Headers],0)),0)+IFERROR(INDEX(阻害要因×在院期間区分[#All],MATCH($AI31,阻害要因×在院期間区分[[#All],[値]],0),MATCH($AP$4,阻害要因×在院期間区分[#Headers],0)),0)+IFERROR(INDEX(阻害要因×在院期間区分[#All],MATCH($AI31,阻害要因×在院期間区分[[#All],[値]],0),MATCH($AQ$4,阻害要因×在院期間区分[#Headers],0)),0)+IFERROR(INDEX(阻害要因×在院期間区分[#All],MATCH($AI31,阻害要因×在院期間区分[[#All],[値]],0),MATCH($AR$4,阻害要因×在院期間区分[#Headers],0)),0)</f>
        <v>7</v>
      </c>
      <c r="F30" s="68">
        <f t="shared" si="2"/>
        <v>1.1235955056179775E-2</v>
      </c>
      <c r="G30" s="69">
        <f>IFERROR(INDEX(阻害要因×在院期間区分[#All],MATCH($AI31,阻害要因×在院期間区分[[#All],[値]],0),MATCH($AS$4,阻害要因×在院期間区分[#Headers],0)),0)+IFERROR(INDEX(阻害要因×在院期間区分[#All],MATCH($AI31,阻害要因×在院期間区分[[#All],[値]],0),MATCH($AT$4,阻害要因×在院期間区分[#Headers],0)),0)+IFERROR(INDEX(阻害要因×在院期間区分[#All],MATCH($AI31,阻害要因×在院期間区分[[#All],[値]],0),MATCH($AU$4,阻害要因×在院期間区分[#Headers],0)),0)+IFERROR(INDEX(阻害要因×在院期間区分[#All],MATCH($AI31,阻害要因×在院期間区分[[#All],[値]],0),MATCH($AV$4,阻害要因×在院期間区分[#Headers],0)),0)+IFERROR(INDEX(阻害要因×在院期間区分[#All],MATCH($AI31,阻害要因×在院期間区分[[#All],[値]],0),MATCH($AW$4,阻害要因×在院期間区分[#Headers],0)),0)</f>
        <v>5</v>
      </c>
      <c r="H30" s="68">
        <f t="shared" si="3"/>
        <v>1.8867924528301886E-2</v>
      </c>
      <c r="I30" s="69">
        <f>IFERROR(INDEX(阻害要因×在院期間区分[#All],MATCH($AI31,阻害要因×在院期間区分[[#All],[値]],0),MATCH($AX$4,阻害要因×在院期間区分[#Headers],0)),0)+IFERROR(INDEX(阻害要因×在院期間区分[#All],MATCH($AI31,阻害要因×在院期間区分[[#All],[値]],0),MATCH($AY$4,阻害要因×在院期間区分[#Headers],0)),0)</f>
        <v>4</v>
      </c>
      <c r="J30" s="68">
        <f t="shared" si="4"/>
        <v>1.2345679012345678E-2</v>
      </c>
      <c r="K30" s="38">
        <f>SUM(C30,E30,G30,I30)</f>
        <v>28</v>
      </c>
      <c r="L30" s="55" t="s">
        <v>180</v>
      </c>
      <c r="M30" s="65">
        <v>0</v>
      </c>
      <c r="N30" s="65">
        <v>3</v>
      </c>
      <c r="O30" s="65">
        <v>3</v>
      </c>
      <c r="P30" s="65">
        <v>6</v>
      </c>
      <c r="Q30" s="65">
        <v>1</v>
      </c>
      <c r="R30" s="65">
        <v>2</v>
      </c>
      <c r="S30" s="65">
        <v>2</v>
      </c>
      <c r="T30" s="65">
        <v>2</v>
      </c>
      <c r="U30" s="65">
        <v>0</v>
      </c>
      <c r="V30" s="65">
        <v>2</v>
      </c>
      <c r="W30" s="65">
        <v>1</v>
      </c>
      <c r="X30" s="65">
        <v>1</v>
      </c>
      <c r="Y30" s="65">
        <v>0</v>
      </c>
      <c r="Z30" s="65">
        <v>1</v>
      </c>
      <c r="AA30" s="65">
        <v>2</v>
      </c>
      <c r="AB30" s="65">
        <v>2</v>
      </c>
      <c r="AI30" s="379" t="s">
        <v>179</v>
      </c>
    </row>
    <row r="31" spans="2:36" s="537" customFormat="1" ht="18.75" customHeight="1" x14ac:dyDescent="0.15">
      <c r="B31" s="541" t="s">
        <v>381</v>
      </c>
      <c r="C31" s="111">
        <f>IFERROR(INDEX(阻害要因×在院期間区分[#All],MATCH($AI32,阻害要因×在院期間区分[[#All],[値]],0),MATCH($AJ$4,阻害要因×在院期間区分[#Headers],0)),0)+IFERROR(INDEX(阻害要因×在院期間区分[#All],MATCH($AI32,阻害要因×在院期間区分[[#All],[値]],0),MATCH($AK$4,阻害要因×在院期間区分[#Headers],0)),0)+IFERROR(INDEX(阻害要因×在院期間区分[#All],MATCH($AI32,阻害要因×在院期間区分[[#All],[値]],0),MATCH($AL$4,阻害要因×在院期間区分[#Headers],0)),0)+IFERROR(INDEX(阻害要因×在院期間区分[#All],MATCH($AI32,阻害要因×在院期間区分[[#All],[値]],0),MATCH($AM$4,阻害要因×在院期間区分[#Headers],0)),0)</f>
        <v>101</v>
      </c>
      <c r="D31" s="68">
        <f t="shared" ref="D31:D33" si="6">IFERROR(C31/C$10,"-")</f>
        <v>0.16369529983792544</v>
      </c>
      <c r="E31" s="69">
        <f>IFERROR(INDEX(阻害要因×在院期間区分[#All],MATCH($AI32,阻害要因×在院期間区分[[#All],[値]],0),MATCH($AN$4,阻害要因×在院期間区分[#Headers],0)),0)+IFERROR(INDEX(阻害要因×在院期間区分[#All],MATCH($AI32,阻害要因×在院期間区分[[#All],[値]],0),MATCH($AO$4,阻害要因×在院期間区分[#Headers],0)),0)+IFERROR(INDEX(阻害要因×在院期間区分[#All],MATCH($AI32,阻害要因×在院期間区分[[#All],[値]],0),MATCH($AP$4,阻害要因×在院期間区分[#Headers],0)),0)+IFERROR(INDEX(阻害要因×在院期間区分[#All],MATCH($AI32,阻害要因×在院期間区分[[#All],[値]],0),MATCH($AQ$4,阻害要因×在院期間区分[#Headers],0)),0)+IFERROR(INDEX(阻害要因×在院期間区分[#All],MATCH($AI32,阻害要因×在院期間区分[[#All],[値]],0),MATCH($AR$4,阻害要因×在院期間区分[#Headers],0)),0)</f>
        <v>103</v>
      </c>
      <c r="F31" s="68">
        <f t="shared" ref="F31:F33" si="7">IFERROR(E31/E$10,"-")</f>
        <v>0.1653290529695024</v>
      </c>
      <c r="G31" s="69">
        <f>IFERROR(INDEX(阻害要因×在院期間区分[#All],MATCH($AI32,阻害要因×在院期間区分[[#All],[値]],0),MATCH($AS$4,阻害要因×在院期間区分[#Headers],0)),0)+IFERROR(INDEX(阻害要因×在院期間区分[#All],MATCH($AI32,阻害要因×在院期間区分[[#All],[値]],0),MATCH($AT$4,阻害要因×在院期間区分[#Headers],0)),0)+IFERROR(INDEX(阻害要因×在院期間区分[#All],MATCH($AI32,阻害要因×在院期間区分[[#All],[値]],0),MATCH($AU$4,阻害要因×在院期間区分[#Headers],0)),0)+IFERROR(INDEX(阻害要因×在院期間区分[#All],MATCH($AI32,阻害要因×在院期間区分[[#All],[値]],0),MATCH($AV$4,阻害要因×在院期間区分[#Headers],0)),0)+IFERROR(INDEX(阻害要因×在院期間区分[#All],MATCH($AI32,阻害要因×在院期間区分[[#All],[値]],0),MATCH($AW$4,阻害要因×在院期間区分[#Headers],0)),0)</f>
        <v>41</v>
      </c>
      <c r="H31" s="68">
        <f t="shared" ref="H31:H33" si="8">IFERROR(G31/G$10,"-")</f>
        <v>0.15471698113207547</v>
      </c>
      <c r="I31" s="69">
        <f>IFERROR(INDEX(阻害要因×在院期間区分[#All],MATCH($AI32,阻害要因×在院期間区分[[#All],[値]],0),MATCH($AX$4,阻害要因×在院期間区分[#Headers],0)),0)+IFERROR(INDEX(阻害要因×在院期間区分[#All],MATCH($AI32,阻害要因×在院期間区分[[#All],[値]],0),MATCH($AY$4,阻害要因×在院期間区分[#Headers],0)),0)</f>
        <v>50</v>
      </c>
      <c r="J31" s="68">
        <f t="shared" ref="J31:J33" si="9">IFERROR(I31/I$10,"-")</f>
        <v>0.15432098765432098</v>
      </c>
      <c r="K31" s="38">
        <f t="shared" ref="K31:K33" si="10">SUM(C31,E31,G31,I31)</f>
        <v>295</v>
      </c>
      <c r="L31" s="55" t="s">
        <v>383</v>
      </c>
      <c r="M31" s="540">
        <v>15</v>
      </c>
      <c r="N31" s="65">
        <v>28</v>
      </c>
      <c r="O31" s="65">
        <v>23</v>
      </c>
      <c r="P31" s="65">
        <v>35</v>
      </c>
      <c r="Q31" s="65">
        <v>25</v>
      </c>
      <c r="R31" s="65">
        <v>11</v>
      </c>
      <c r="S31" s="65">
        <v>41</v>
      </c>
      <c r="T31" s="65">
        <v>20</v>
      </c>
      <c r="U31" s="65">
        <v>6</v>
      </c>
      <c r="V31" s="65">
        <v>14</v>
      </c>
      <c r="W31" s="65">
        <v>4</v>
      </c>
      <c r="X31" s="65">
        <v>9</v>
      </c>
      <c r="Y31" s="65">
        <v>7</v>
      </c>
      <c r="Z31" s="65">
        <v>7</v>
      </c>
      <c r="AA31" s="65">
        <v>22</v>
      </c>
      <c r="AB31" s="65">
        <v>28</v>
      </c>
      <c r="AI31" s="379" t="s">
        <v>180</v>
      </c>
    </row>
    <row r="32" spans="2:36" s="537" customFormat="1" ht="29.25" customHeight="1" x14ac:dyDescent="0.15">
      <c r="B32" s="542" t="s">
        <v>382</v>
      </c>
      <c r="C32" s="111">
        <f>IFERROR(INDEX(阻害要因×在院期間区分[#All],MATCH($AI33,阻害要因×在院期間区分[[#All],[値]],0),MATCH($AJ$4,阻害要因×在院期間区分[#Headers],0)),0)+IFERROR(INDEX(阻害要因×在院期間区分[#All],MATCH($AI33,阻害要因×在院期間区分[[#All],[値]],0),MATCH($AK$4,阻害要因×在院期間区分[#Headers],0)),0)+IFERROR(INDEX(阻害要因×在院期間区分[#All],MATCH($AI33,阻害要因×在院期間区分[[#All],[値]],0),MATCH($AL$4,阻害要因×在院期間区分[#Headers],0)),0)+IFERROR(INDEX(阻害要因×在院期間区分[#All],MATCH($AI33,阻害要因×在院期間区分[[#All],[値]],0),MATCH($AM$4,阻害要因×在院期間区分[#Headers],0)),0)</f>
        <v>66</v>
      </c>
      <c r="D32" s="68">
        <f t="shared" si="6"/>
        <v>0.10696920583468396</v>
      </c>
      <c r="E32" s="69">
        <f>IFERROR(INDEX(阻害要因×在院期間区分[#All],MATCH($AI33,阻害要因×在院期間区分[[#All],[値]],0),MATCH($AN$4,阻害要因×在院期間区分[#Headers],0)),0)+IFERROR(INDEX(阻害要因×在院期間区分[#All],MATCH($AI33,阻害要因×在院期間区分[[#All],[値]],0),MATCH($AO$4,阻害要因×在院期間区分[#Headers],0)),0)+IFERROR(INDEX(阻害要因×在院期間区分[#All],MATCH($AI33,阻害要因×在院期間区分[[#All],[値]],0),MATCH($AP$4,阻害要因×在院期間区分[#Headers],0)),0)+IFERROR(INDEX(阻害要因×在院期間区分[#All],MATCH($AI33,阻害要因×在院期間区分[[#All],[値]],0),MATCH($AQ$4,阻害要因×在院期間区分[#Headers],0)),0)+IFERROR(INDEX(阻害要因×在院期間区分[#All],MATCH($AI33,阻害要因×在院期間区分[[#All],[値]],0),MATCH($AR$4,阻害要因×在院期間区分[#Headers],0)),0)</f>
        <v>48</v>
      </c>
      <c r="F32" s="68">
        <f t="shared" si="7"/>
        <v>7.7046548956661312E-2</v>
      </c>
      <c r="G32" s="69">
        <f>IFERROR(INDEX(阻害要因×在院期間区分[#All],MATCH($AI33,阻害要因×在院期間区分[[#All],[値]],0),MATCH($AS$4,阻害要因×在院期間区分[#Headers],0)),0)+IFERROR(INDEX(阻害要因×在院期間区分[#All],MATCH($AI33,阻害要因×在院期間区分[[#All],[値]],0),MATCH($AT$4,阻害要因×在院期間区分[#Headers],0)),0)+IFERROR(INDEX(阻害要因×在院期間区分[#All],MATCH($AI33,阻害要因×在院期間区分[[#All],[値]],0),MATCH($AU$4,阻害要因×在院期間区分[#Headers],0)),0)+IFERROR(INDEX(阻害要因×在院期間区分[#All],MATCH($AI33,阻害要因×在院期間区分[[#All],[値]],0),MATCH($AV$4,阻害要因×在院期間区分[#Headers],0)),0)+IFERROR(INDEX(阻害要因×在院期間区分[#All],MATCH($AI33,阻害要因×在院期間区分[[#All],[値]],0),MATCH($AW$4,阻害要因×在院期間区分[#Headers],0)),0)</f>
        <v>25</v>
      </c>
      <c r="H32" s="68">
        <f t="shared" si="8"/>
        <v>9.4339622641509441E-2</v>
      </c>
      <c r="I32" s="69">
        <f>IFERROR(INDEX(阻害要因×在院期間区分[#All],MATCH($AI33,阻害要因×在院期間区分[[#All],[値]],0),MATCH($AX$4,阻害要因×在院期間区分[#Headers],0)),0)+IFERROR(INDEX(阻害要因×在院期間区分[#All],MATCH($AI33,阻害要因×在院期間区分[[#All],[値]],0),MATCH($AY$4,阻害要因×在院期間区分[#Headers],0)),0)</f>
        <v>34</v>
      </c>
      <c r="J32" s="68">
        <f t="shared" si="9"/>
        <v>0.10493827160493827</v>
      </c>
      <c r="K32" s="38">
        <f t="shared" si="10"/>
        <v>173</v>
      </c>
      <c r="L32" s="55" t="s">
        <v>384</v>
      </c>
      <c r="M32" s="540">
        <v>11</v>
      </c>
      <c r="N32" s="65">
        <v>18</v>
      </c>
      <c r="O32" s="65">
        <v>14</v>
      </c>
      <c r="P32" s="65">
        <v>23</v>
      </c>
      <c r="Q32" s="65">
        <v>9</v>
      </c>
      <c r="R32" s="65">
        <v>6</v>
      </c>
      <c r="S32" s="65">
        <v>23</v>
      </c>
      <c r="T32" s="65">
        <v>7</v>
      </c>
      <c r="U32" s="65">
        <v>3</v>
      </c>
      <c r="V32" s="65">
        <v>8</v>
      </c>
      <c r="W32" s="65">
        <v>3</v>
      </c>
      <c r="X32" s="65">
        <v>6</v>
      </c>
      <c r="Y32" s="65">
        <v>6</v>
      </c>
      <c r="Z32" s="65">
        <v>2</v>
      </c>
      <c r="AA32" s="65">
        <v>13</v>
      </c>
      <c r="AB32" s="65">
        <v>21</v>
      </c>
      <c r="AI32" s="379" t="s">
        <v>383</v>
      </c>
    </row>
    <row r="33" spans="2:35" ht="18.75" customHeight="1" x14ac:dyDescent="0.15">
      <c r="B33" s="106" t="s">
        <v>53</v>
      </c>
      <c r="C33" s="543">
        <f>IFERROR(INDEX(阻害要因×在院期間区分[#All],MATCH($AI34,阻害要因×在院期間区分[[#All],[値]],0),MATCH($AJ$4,阻害要因×在院期間区分[#Headers],0)),0)+IFERROR(INDEX(阻害要因×在院期間区分[#All],MATCH($AI34,阻害要因×在院期間区分[[#All],[値]],0),MATCH($AK$4,阻害要因×在院期間区分[#Headers],0)),0)+IFERROR(INDEX(阻害要因×在院期間区分[#All],MATCH($AI34,阻害要因×在院期間区分[[#All],[値]],0),MATCH($AL$4,阻害要因×在院期間区分[#Headers],0)),0)+IFERROR(INDEX(阻害要因×在院期間区分[#All],MATCH($AI34,阻害要因×在院期間区分[[#All],[値]],0),MATCH($AM$4,阻害要因×在院期間区分[#Headers],0)),0)</f>
        <v>21</v>
      </c>
      <c r="D33" s="76">
        <f t="shared" si="6"/>
        <v>3.4035656401944892E-2</v>
      </c>
      <c r="E33" s="73">
        <f>IFERROR(INDEX(阻害要因×在院期間区分[#All],MATCH($AI34,阻害要因×在院期間区分[[#All],[値]],0),MATCH($AN$4,阻害要因×在院期間区分[#Headers],0)),0)+IFERROR(INDEX(阻害要因×在院期間区分[#All],MATCH($AI34,阻害要因×在院期間区分[[#All],[値]],0),MATCH($AO$4,阻害要因×在院期間区分[#Headers],0)),0)+IFERROR(INDEX(阻害要因×在院期間区分[#All],MATCH($AI34,阻害要因×在院期間区分[[#All],[値]],0),MATCH($AP$4,阻害要因×在院期間区分[#Headers],0)),0)+IFERROR(INDEX(阻害要因×在院期間区分[#All],MATCH($AI34,阻害要因×在院期間区分[[#All],[値]],0),MATCH($AQ$4,阻害要因×在院期間区分[#Headers],0)),0)+IFERROR(INDEX(阻害要因×在院期間区分[#All],MATCH($AI34,阻害要因×在院期間区分[[#All],[値]],0),MATCH($AR$4,阻害要因×在院期間区分[#Headers],0)),0)</f>
        <v>18</v>
      </c>
      <c r="F33" s="76">
        <f t="shared" si="7"/>
        <v>2.8892455858747994E-2</v>
      </c>
      <c r="G33" s="73">
        <f>IFERROR(INDEX(阻害要因×在院期間区分[#All],MATCH($AI34,阻害要因×在院期間区分[[#All],[値]],0),MATCH($AS$4,阻害要因×在院期間区分[#Headers],0)),0)+IFERROR(INDEX(阻害要因×在院期間区分[#All],MATCH($AI34,阻害要因×在院期間区分[[#All],[値]],0),MATCH($AT$4,阻害要因×在院期間区分[#Headers],0)),0)+IFERROR(INDEX(阻害要因×在院期間区分[#All],MATCH($AI34,阻害要因×在院期間区分[[#All],[値]],0),MATCH($AU$4,阻害要因×在院期間区分[#Headers],0)),0)+IFERROR(INDEX(阻害要因×在院期間区分[#All],MATCH($AI34,阻害要因×在院期間区分[[#All],[値]],0),MATCH($AV$4,阻害要因×在院期間区分[#Headers],0)),0)+IFERROR(INDEX(阻害要因×在院期間区分[#All],MATCH($AI34,阻害要因×在院期間区分[[#All],[値]],0),MATCH($AW$4,阻害要因×在院期間区分[#Headers],0)),0)</f>
        <v>5</v>
      </c>
      <c r="H33" s="76">
        <f t="shared" si="8"/>
        <v>1.8867924528301886E-2</v>
      </c>
      <c r="I33" s="73">
        <f>IFERROR(INDEX(阻害要因×在院期間区分[#All],MATCH($AI34,阻害要因×在院期間区分[[#All],[値]],0),MATCH($AX$4,阻害要因×在院期間区分[#Headers],0)),0)+IFERROR(INDEX(阻害要因×在院期間区分[#All],MATCH($AI34,阻害要因×在院期間区分[[#All],[値]],0),MATCH($AY$4,阻害要因×在院期間区分[#Headers],0)),0)</f>
        <v>6</v>
      </c>
      <c r="J33" s="76">
        <f t="shared" si="9"/>
        <v>1.8518518518518517E-2</v>
      </c>
      <c r="K33" s="38">
        <f t="shared" si="10"/>
        <v>50</v>
      </c>
      <c r="L33" s="55" t="s">
        <v>181</v>
      </c>
      <c r="M33" s="65">
        <v>4</v>
      </c>
      <c r="N33" s="65">
        <v>5</v>
      </c>
      <c r="O33" s="65">
        <v>4</v>
      </c>
      <c r="P33" s="65">
        <v>8</v>
      </c>
      <c r="Q33" s="65">
        <v>3</v>
      </c>
      <c r="R33" s="65">
        <v>3</v>
      </c>
      <c r="S33" s="65">
        <v>5</v>
      </c>
      <c r="T33" s="65">
        <v>5</v>
      </c>
      <c r="U33" s="65">
        <v>2</v>
      </c>
      <c r="V33" s="65">
        <v>2</v>
      </c>
      <c r="W33" s="65">
        <v>1</v>
      </c>
      <c r="X33" s="65">
        <v>1</v>
      </c>
      <c r="Y33" s="65">
        <v>1</v>
      </c>
      <c r="Z33" s="65">
        <v>0</v>
      </c>
      <c r="AA33" s="65">
        <v>3</v>
      </c>
      <c r="AB33" s="65">
        <v>3</v>
      </c>
      <c r="AI33" s="42" t="s">
        <v>384</v>
      </c>
    </row>
    <row r="34" spans="2:35" ht="18.75" customHeight="1" x14ac:dyDescent="0.15">
      <c r="D34" s="21"/>
      <c r="E34" s="38"/>
      <c r="J34" s="21"/>
      <c r="K34" s="38"/>
      <c r="AI34" s="379" t="s">
        <v>181</v>
      </c>
    </row>
    <row r="35" spans="2:35" ht="18.75" customHeight="1" x14ac:dyDescent="0.15">
      <c r="B35" s="2" t="s">
        <v>79</v>
      </c>
      <c r="E35" s="121"/>
      <c r="K35" s="38"/>
    </row>
    <row r="36" spans="2:35" ht="18.75" customHeight="1" thickBot="1" x14ac:dyDescent="0.2">
      <c r="B36" s="913" t="s">
        <v>240</v>
      </c>
      <c r="C36" s="942" t="s">
        <v>64</v>
      </c>
      <c r="D36" s="943"/>
      <c r="E36" s="943"/>
      <c r="F36" s="943"/>
      <c r="G36" s="943"/>
      <c r="H36" s="943"/>
      <c r="I36" s="943"/>
      <c r="J36" s="944"/>
      <c r="K36" s="38"/>
      <c r="L36" s="52" t="s">
        <v>63</v>
      </c>
    </row>
    <row r="37" spans="2:35" ht="18.75" customHeight="1" thickTop="1" thickBot="1" x14ac:dyDescent="0.2">
      <c r="B37" s="941"/>
      <c r="C37" s="945" t="s">
        <v>69</v>
      </c>
      <c r="D37" s="946"/>
      <c r="E37" s="947" t="s">
        <v>270</v>
      </c>
      <c r="F37" s="948"/>
      <c r="G37" s="947" t="s">
        <v>271</v>
      </c>
      <c r="H37" s="948"/>
      <c r="I37" s="945" t="s">
        <v>72</v>
      </c>
      <c r="J37" s="946"/>
      <c r="K37" s="38"/>
      <c r="L37" s="488" t="s">
        <v>373</v>
      </c>
      <c r="M37" s="55" t="s">
        <v>182</v>
      </c>
      <c r="N37" s="55" t="s">
        <v>183</v>
      </c>
      <c r="O37" s="55" t="s">
        <v>184</v>
      </c>
      <c r="P37" s="55" t="s">
        <v>185</v>
      </c>
      <c r="Q37" s="55" t="s">
        <v>186</v>
      </c>
      <c r="R37" s="55" t="s">
        <v>187</v>
      </c>
      <c r="S37" s="55" t="s">
        <v>188</v>
      </c>
      <c r="T37" s="55" t="s">
        <v>189</v>
      </c>
      <c r="U37" s="55" t="s">
        <v>190</v>
      </c>
      <c r="V37" s="55" t="s">
        <v>191</v>
      </c>
      <c r="W37" s="55" t="s">
        <v>192</v>
      </c>
      <c r="X37" s="55" t="s">
        <v>193</v>
      </c>
      <c r="Y37" s="55" t="s">
        <v>194</v>
      </c>
      <c r="Z37" s="55" t="s">
        <v>195</v>
      </c>
      <c r="AA37" s="55" t="s">
        <v>196</v>
      </c>
      <c r="AB37" s="55" t="s">
        <v>197</v>
      </c>
    </row>
    <row r="38" spans="2:35" ht="37.5" customHeight="1" thickTop="1" x14ac:dyDescent="0.15">
      <c r="B38" s="87" t="s">
        <v>231</v>
      </c>
      <c r="C38" s="88">
        <f>IFERROR(INDEX(退院予定有無×在院期間区分＿寛解・院内寛解[#All],MATCH($AI39,退院予定有無×在院期間区分＿寛解・院内寛解[[#All],[行ラベル]],0),MATCH($AJ$4,退院予定有無×在院期間区分＿寛解・院内寛解[#Headers],0)),0)+IFERROR(INDEX(退院予定有無×在院期間区分＿寛解・院内寛解[#All],MATCH($AI39,退院予定有無×在院期間区分＿寛解・院内寛解[[#All],[行ラベル]],0),MATCH($AK$4,退院予定有無×在院期間区分＿寛解・院内寛解[#Headers],0)),0)+IFERROR(INDEX(退院予定有無×在院期間区分＿寛解・院内寛解[#All],MATCH($AI39,退院予定有無×在院期間区分＿寛解・院内寛解[[#All],[行ラベル]],0),MATCH($AL$4,退院予定有無×在院期間区分＿寛解・院内寛解[#Headers],0)),0)+IFERROR(INDEX(退院予定有無×在院期間区分＿寛解・院内寛解[#All],MATCH($AI39,退院予定有無×在院期間区分＿寛解・院内寛解[[#All],[行ラベル]],0),MATCH($AM$4,退院予定有無×在院期間区分＿寛解・院内寛解[#Headers],0)),0)</f>
        <v>318</v>
      </c>
      <c r="D38" s="89">
        <f>IFERROR(C38/C$41,"-")</f>
        <v>0.27992957746478875</v>
      </c>
      <c r="E38" s="88">
        <f>IFERROR(INDEX(退院予定有無×在院期間区分＿寛解・院内寛解[#All],MATCH($AI39,退院予定有無×在院期間区分＿寛解・院内寛解[[#All],[行ラベル]],0),MATCH($AN$4,退院予定有無×在院期間区分＿寛解・院内寛解[#Headers],0)),0)+IFERROR(INDEX(退院予定有無×在院期間区分＿寛解・院内寛解[#All],MATCH($AI39,退院予定有無×在院期間区分＿寛解・院内寛解[[#All],[行ラベル]],0),MATCH($AO$4,退院予定有無×在院期間区分＿寛解・院内寛解[#Headers],0)),0)+IFERROR(INDEX(退院予定有無×在院期間区分＿寛解・院内寛解[#All],MATCH($AI39,退院予定有無×在院期間区分＿寛解・院内寛解[[#All],[行ラベル]],0),MATCH($AP$4,退院予定有無×在院期間区分＿寛解・院内寛解[#Headers],0)),0)+IFERROR(INDEX(退院予定有無×在院期間区分＿寛解・院内寛解[#All],MATCH($AI39,退院予定有無×在院期間区分＿寛解・院内寛解[[#All],[行ラベル]],0),MATCH($AQ$4,退院予定有無×在院期間区分＿寛解・院内寛解[#Headers],0)),0)+IFERROR(INDEX(退院予定有無×在院期間区分＿寛解・院内寛解[#All],MATCH($AI39,退院予定有無×在院期間区分＿寛解・院内寛解[[#All],[行ラベル]],0),MATCH($AR$4,退院予定有無×在院期間区分＿寛解・院内寛解[#Headers],0)),0)</f>
        <v>172</v>
      </c>
      <c r="F38" s="89">
        <f>IFERROR(E38/E$41,"-")</f>
        <v>0.54603174603174598</v>
      </c>
      <c r="G38" s="88">
        <f>IFERROR(INDEX(退院予定有無×在院期間区分＿寛解・院内寛解[#All],MATCH($AI39,退院予定有無×在院期間区分＿寛解・院内寛解[[#All],[行ラベル]],0),MATCH($AS$4,退院予定有無×在院期間区分＿寛解・院内寛解[#Headers],0)),0)+IFERROR(INDEX(退院予定有無×在院期間区分＿寛解・院内寛解[#All],MATCH($AI39,退院予定有無×在院期間区分＿寛解・院内寛解[[#All],[行ラベル]],0),MATCH($AT$4,退院予定有無×在院期間区分＿寛解・院内寛解[#Headers],0)),0)+IFERROR(INDEX(退院予定有無×在院期間区分＿寛解・院内寛解[#All],MATCH($AI39,退院予定有無×在院期間区分＿寛解・院内寛解[[#All],[行ラベル]],0),MATCH($AU$4,退院予定有無×在院期間区分＿寛解・院内寛解[#Headers],0)),0)+IFERROR(INDEX(退院予定有無×在院期間区分＿寛解・院内寛解[#All],MATCH($AI39,退院予定有無×在院期間区分＿寛解・院内寛解[[#All],[行ラベル]],0),MATCH($AV$4,退院予定有無×在院期間区分＿寛解・院内寛解[#Headers],0)),0)+IFERROR(INDEX(退院予定有無×在院期間区分＿寛解・院内寛解[#All],MATCH($AI39,退院予定有無×在院期間区分＿寛解・院内寛解[[#All],[行ラベル]],0),MATCH($AW$4,退院予定有無×在院期間区分＿寛解・院内寛解[#Headers],0)),0)</f>
        <v>68</v>
      </c>
      <c r="H38" s="89">
        <f>IFERROR(G38/G$41,"-")</f>
        <v>0.66666666666666663</v>
      </c>
      <c r="I38" s="88">
        <f>IFERROR(INDEX(退院予定有無×在院期間区分＿寛解・院内寛解[#All],MATCH($AI39,退院予定有無×在院期間区分＿寛解・院内寛解[[#All],[行ラベル]],0),MATCH($AX$4,退院予定有無×在院期間区分＿寛解・院内寛解[#Headers],0)),0)+IFERROR(INDEX(退院予定有無×在院期間区分＿寛解・院内寛解[#All],MATCH($AI39,退院予定有無×在院期間区分＿寛解・院内寛解[[#All],[行ラベル]],0),MATCH($AY$4,退院予定有無×在院期間区分＿寛解・院内寛解[#Headers],0)),0)</f>
        <v>65</v>
      </c>
      <c r="J38" s="89">
        <f>IFERROR(I38/I$41,"-")</f>
        <v>0.625</v>
      </c>
      <c r="K38" s="38">
        <f>SUM(C38,E38,G38,I38)</f>
        <v>623</v>
      </c>
      <c r="L38" s="33">
        <v>98</v>
      </c>
      <c r="M38" s="59">
        <v>63</v>
      </c>
      <c r="N38" s="59">
        <v>67</v>
      </c>
      <c r="O38" s="59">
        <v>22</v>
      </c>
      <c r="P38" s="59">
        <v>13</v>
      </c>
      <c r="Q38" s="59">
        <v>14</v>
      </c>
      <c r="R38" s="59">
        <v>11</v>
      </c>
      <c r="S38" s="59">
        <v>18</v>
      </c>
      <c r="T38" s="59">
        <v>18</v>
      </c>
      <c r="U38" s="59">
        <v>15</v>
      </c>
      <c r="V38" s="59">
        <v>11</v>
      </c>
      <c r="W38" s="59">
        <v>6</v>
      </c>
      <c r="X38" s="59">
        <v>4</v>
      </c>
      <c r="Y38" s="59">
        <v>4</v>
      </c>
      <c r="Z38" s="59">
        <v>0</v>
      </c>
      <c r="AA38" s="59">
        <v>20</v>
      </c>
      <c r="AB38" s="59">
        <v>11</v>
      </c>
    </row>
    <row r="39" spans="2:35" ht="18.75" customHeight="1" x14ac:dyDescent="0.15">
      <c r="B39" s="90" t="s">
        <v>241</v>
      </c>
      <c r="C39" s="69">
        <f>IFERROR(INDEX(退院予定有無×在院期間区分＿寛解・院内寛解[#All],MATCH($AI40,退院予定有無×在院期間区分＿寛解・院内寛解[[#All],[行ラベル]],0),MATCH($AJ$4,退院予定有無×在院期間区分＿寛解・院内寛解[#Headers],0)),0)+IFERROR(INDEX(退院予定有無×在院期間区分＿寛解・院内寛解[#All],MATCH($AI40,退院予定有無×在院期間区分＿寛解・院内寛解[[#All],[行ラベル]],0),MATCH($AK$4,退院予定有無×在院期間区分＿寛解・院内寛解[#Headers],0)),0)+IFERROR(INDEX(退院予定有無×在院期間区分＿寛解・院内寛解[#All],MATCH($AI40,退院予定有無×在院期間区分＿寛解・院内寛解[[#All],[行ラベル]],0),MATCH($AL$4,退院予定有無×在院期間区分＿寛解・院内寛解[#Headers],0)),0)+IFERROR(INDEX(退院予定有無×在院期間区分＿寛解・院内寛解[#All],MATCH($AI40,退院予定有無×在院期間区分＿寛解・院内寛解[[#All],[行ラベル]],0),MATCH($AM$4,退院予定有無×在院期間区分＿寛解・院内寛解[#Headers],0)),0)</f>
        <v>165</v>
      </c>
      <c r="D39" s="68">
        <f>IFERROR(C39/C$41,"-")</f>
        <v>0.14524647887323944</v>
      </c>
      <c r="E39" s="69">
        <f>IFERROR(INDEX(退院予定有無×在院期間区分＿寛解・院内寛解[#All],MATCH($AI40,退院予定有無×在院期間区分＿寛解・院内寛解[[#All],[行ラベル]],0),MATCH($AN$4,退院予定有無×在院期間区分＿寛解・院内寛解[#Headers],0)),0)+IFERROR(INDEX(退院予定有無×在院期間区分＿寛解・院内寛解[#All],MATCH($AI40,退院予定有無×在院期間区分＿寛解・院内寛解[[#All],[行ラベル]],0),MATCH($AO$4,退院予定有無×在院期間区分＿寛解・院内寛解[#Headers],0)),0)+IFERROR(INDEX(退院予定有無×在院期間区分＿寛解・院内寛解[#All],MATCH($AI40,退院予定有無×在院期間区分＿寛解・院内寛解[[#All],[行ラベル]],0),MATCH($AP$4,退院予定有無×在院期間区分＿寛解・院内寛解[#Headers],0)),0)+IFERROR(INDEX(退院予定有無×在院期間区分＿寛解・院内寛解[#All],MATCH($AI40,退院予定有無×在院期間区分＿寛解・院内寛解[[#All],[行ラベル]],0),MATCH($AQ$4,退院予定有無×在院期間区分＿寛解・院内寛解[#Headers],0)),0)+IFERROR(INDEX(退院予定有無×在院期間区分＿寛解・院内寛解[#All],MATCH($AI40,退院予定有無×在院期間区分＿寛解・院内寛解[[#All],[行ラベル]],0),MATCH($AR$4,退院予定有無×在院期間区分＿寛解・院内寛解[#Headers],0)),0)</f>
        <v>76</v>
      </c>
      <c r="F39" s="68">
        <f>IFERROR(E39/E$41,"-")</f>
        <v>0.24126984126984127</v>
      </c>
      <c r="G39" s="69">
        <f>IFERROR(INDEX(退院予定有無×在院期間区分＿寛解・院内寛解[#All],MATCH($AI40,退院予定有無×在院期間区分＿寛解・院内寛解[[#All],[行ラベル]],0),MATCH($AS$4,退院予定有無×在院期間区分＿寛解・院内寛解[#Headers],0)),0)+IFERROR(INDEX(退院予定有無×在院期間区分＿寛解・院内寛解[#All],MATCH($AI40,退院予定有無×在院期間区分＿寛解・院内寛解[[#All],[行ラベル]],0),MATCH($AT$4,退院予定有無×在院期間区分＿寛解・院内寛解[#Headers],0)),0)+IFERROR(INDEX(退院予定有無×在院期間区分＿寛解・院内寛解[#All],MATCH($AI40,退院予定有無×在院期間区分＿寛解・院内寛解[[#All],[行ラベル]],0),MATCH($AU$4,退院予定有無×在院期間区分＿寛解・院内寛解[#Headers],0)),0)+IFERROR(INDEX(退院予定有無×在院期間区分＿寛解・院内寛解[#All],MATCH($AI40,退院予定有無×在院期間区分＿寛解・院内寛解[[#All],[行ラベル]],0),MATCH($AV$4,退院予定有無×在院期間区分＿寛解・院内寛解[#Headers],0)),0)+IFERROR(INDEX(退院予定有無×在院期間区分＿寛解・院内寛解[#All],MATCH($AI40,退院予定有無×在院期間区分＿寛解・院内寛解[[#All],[行ラベル]],0),MATCH($AW$4,退院予定有無×在院期間区分＿寛解・院内寛解[#Headers],0)),0)</f>
        <v>25</v>
      </c>
      <c r="H39" s="68">
        <f>IFERROR(G39/G$41,"-")</f>
        <v>0.24509803921568626</v>
      </c>
      <c r="I39" s="69">
        <f>IFERROR(INDEX(退院予定有無×在院期間区分＿寛解・院内寛解[#All],MATCH($AI40,退院予定有無×在院期間区分＿寛解・院内寛解[[#All],[行ラベル]],0),MATCH($AX$4,退院予定有無×在院期間区分＿寛解・院内寛解[#Headers],0)),0)+IFERROR(INDEX(退院予定有無×在院期間区分＿寛解・院内寛解[#All],MATCH($AI40,退院予定有無×在院期間区分＿寛解・院内寛解[[#All],[行ラベル]],0),MATCH($AY$4,退院予定有無×在院期間区分＿寛解・院内寛解[#Headers],0)),0)</f>
        <v>31</v>
      </c>
      <c r="J39" s="68">
        <f>IFERROR(I39/I$41,"-")</f>
        <v>0.29807692307692307</v>
      </c>
      <c r="K39" s="38">
        <f>SUM(C39,E39,G39,I39)</f>
        <v>297</v>
      </c>
      <c r="L39" s="33">
        <v>97</v>
      </c>
      <c r="M39" s="59">
        <v>60</v>
      </c>
      <c r="N39" s="59">
        <v>127</v>
      </c>
      <c r="O39" s="59">
        <v>54</v>
      </c>
      <c r="P39" s="59">
        <v>77</v>
      </c>
      <c r="Q39" s="59">
        <v>34</v>
      </c>
      <c r="R39" s="59">
        <v>32</v>
      </c>
      <c r="S39" s="59">
        <v>44</v>
      </c>
      <c r="T39" s="59">
        <v>43</v>
      </c>
      <c r="U39" s="59">
        <v>19</v>
      </c>
      <c r="V39" s="59">
        <v>23</v>
      </c>
      <c r="W39" s="59">
        <v>13</v>
      </c>
      <c r="X39" s="59">
        <v>17</v>
      </c>
      <c r="Y39" s="59">
        <v>9</v>
      </c>
      <c r="Z39" s="59">
        <v>6</v>
      </c>
      <c r="AA39" s="59">
        <v>42</v>
      </c>
      <c r="AB39" s="59">
        <v>23</v>
      </c>
      <c r="AI39" s="406">
        <v>97</v>
      </c>
    </row>
    <row r="40" spans="2:35" ht="18.75" customHeight="1" x14ac:dyDescent="0.15">
      <c r="B40" s="122" t="s">
        <v>36</v>
      </c>
      <c r="C40" s="123">
        <f>IFERROR(INDEX(退院予定有無×在院期間区分＿寛解・院内寛解[#All],MATCH($AI41,退院予定有無×在院期間区分＿寛解・院内寛解[[#All],[行ラベル]],0),MATCH($AJ$4,退院予定有無×在院期間区分＿寛解・院内寛解[#Headers],0)),0)+IFERROR(INDEX(退院予定有無×在院期間区分＿寛解・院内寛解[#All],MATCH($AI41,退院予定有無×在院期間区分＿寛解・院内寛解[[#All],[行ラベル]],0),MATCH($AK$4,退院予定有無×在院期間区分＿寛解・院内寛解[#Headers],0)),0)+IFERROR(INDEX(退院予定有無×在院期間区分＿寛解・院内寛解[#All],MATCH($AI41,退院予定有無×在院期間区分＿寛解・院内寛解[[#All],[行ラベル]],0),MATCH($AL$4,退院予定有無×在院期間区分＿寛解・院内寛解[#Headers],0)),0)+IFERROR(INDEX(退院予定有無×在院期間区分＿寛解・院内寛解[#All],MATCH($AI41,退院予定有無×在院期間区分＿寛解・院内寛解[[#All],[行ラベル]],0),MATCH($AM$4,退院予定有無×在院期間区分＿寛解・院内寛解[#Headers],0)),0)</f>
        <v>653</v>
      </c>
      <c r="D40" s="124">
        <f>IFERROR(C40/C$41,"-")</f>
        <v>0.57482394366197187</v>
      </c>
      <c r="E40" s="123">
        <f>IFERROR(INDEX(退院予定有無×在院期間区分＿寛解・院内寛解[#All],MATCH($AI41,退院予定有無×在院期間区分＿寛解・院内寛解[[#All],[行ラベル]],0),MATCH($AN$4,退院予定有無×在院期間区分＿寛解・院内寛解[#Headers],0)),0)+IFERROR(INDEX(退院予定有無×在院期間区分＿寛解・院内寛解[#All],MATCH($AI41,退院予定有無×在院期間区分＿寛解・院内寛解[[#All],[行ラベル]],0),MATCH($AO$4,退院予定有無×在院期間区分＿寛解・院内寛解[#Headers],0)),0)+IFERROR(INDEX(退院予定有無×在院期間区分＿寛解・院内寛解[#All],MATCH($AI41,退院予定有無×在院期間区分＿寛解・院内寛解[[#All],[行ラベル]],0),MATCH($AP$4,退院予定有無×在院期間区分＿寛解・院内寛解[#Headers],0)),0)+IFERROR(INDEX(退院予定有無×在院期間区分＿寛解・院内寛解[#All],MATCH($AI41,退院予定有無×在院期間区分＿寛解・院内寛解[[#All],[行ラベル]],0),MATCH($AQ$4,退院予定有無×在院期間区分＿寛解・院内寛解[#Headers],0)),0)+IFERROR(INDEX(退院予定有無×在院期間区分＿寛解・院内寛解[#All],MATCH($AI41,退院予定有無×在院期間区分＿寛解・院内寛解[[#All],[行ラベル]],0),MATCH($AR$4,退院予定有無×在院期間区分＿寛解・院内寛解[#Headers],0)),0)</f>
        <v>67</v>
      </c>
      <c r="F40" s="124">
        <f>IFERROR(E40/E$41,"-")</f>
        <v>0.21269841269841269</v>
      </c>
      <c r="G40" s="123">
        <f>IFERROR(INDEX(退院予定有無×在院期間区分＿寛解・院内寛解[#All],MATCH($AI41,退院予定有無×在院期間区分＿寛解・院内寛解[[#All],[行ラベル]],0),MATCH($AS$4,退院予定有無×在院期間区分＿寛解・院内寛解[#Headers],0)),0)+IFERROR(INDEX(退院予定有無×在院期間区分＿寛解・院内寛解[#All],MATCH($AI41,退院予定有無×在院期間区分＿寛解・院内寛解[[#All],[行ラベル]],0),MATCH($AT$4,退院予定有無×在院期間区分＿寛解・院内寛解[#Headers],0)),0)+IFERROR(INDEX(退院予定有無×在院期間区分＿寛解・院内寛解[#All],MATCH($AI41,退院予定有無×在院期間区分＿寛解・院内寛解[[#All],[行ラベル]],0),MATCH($AU$4,退院予定有無×在院期間区分＿寛解・院内寛解[#Headers],0)),0)+IFERROR(INDEX(退院予定有無×在院期間区分＿寛解・院内寛解[#All],MATCH($AI41,退院予定有無×在院期間区分＿寛解・院内寛解[[#All],[行ラベル]],0),MATCH($AV$4,退院予定有無×在院期間区分＿寛解・院内寛解[#Headers],0)),0)+IFERROR(INDEX(退院予定有無×在院期間区分＿寛解・院内寛解[#All],MATCH($AI41,退院予定有無×在院期間区分＿寛解・院内寛解[[#All],[行ラベル]],0),MATCH($AW$4,退院予定有無×在院期間区分＿寛解・院内寛解[#Headers],0)),0)</f>
        <v>9</v>
      </c>
      <c r="H40" s="124">
        <f>IFERROR(G40/G$41,"-")</f>
        <v>8.8235294117647065E-2</v>
      </c>
      <c r="I40" s="123">
        <f>IFERROR(INDEX(退院予定有無×在院期間区分＿寛解・院内寛解[#All],MATCH($AI41,退院予定有無×在院期間区分＿寛解・院内寛解[[#All],[行ラベル]],0),MATCH($AX$4,退院予定有無×在院期間区分＿寛解・院内寛解[#Headers],0)),0)+IFERROR(INDEX(退院予定有無×在院期間区分＿寛解・院内寛解[#All],MATCH($AI41,退院予定有無×在院期間区分＿寛解・院内寛解[[#All],[行ラベル]],0),MATCH($AY$4,退院予定有無×在院期間区分＿寛解・院内寛解[#Headers],0)),0)</f>
        <v>8</v>
      </c>
      <c r="J40" s="124">
        <f>IFERROR(I40/I$41,"-")</f>
        <v>7.6923076923076927E-2</v>
      </c>
      <c r="K40" s="38">
        <f>SUM(C40,E40,G40,I40)</f>
        <v>737</v>
      </c>
      <c r="L40" s="33">
        <v>99</v>
      </c>
      <c r="M40" s="59">
        <v>216</v>
      </c>
      <c r="N40" s="59">
        <v>277</v>
      </c>
      <c r="O40" s="59">
        <v>98</v>
      </c>
      <c r="P40" s="59">
        <v>62</v>
      </c>
      <c r="Q40" s="59">
        <v>16</v>
      </c>
      <c r="R40" s="59">
        <v>17</v>
      </c>
      <c r="S40" s="59">
        <v>14</v>
      </c>
      <c r="T40" s="59">
        <v>10</v>
      </c>
      <c r="U40" s="59">
        <v>10</v>
      </c>
      <c r="V40" s="59">
        <v>3</v>
      </c>
      <c r="W40" s="59">
        <v>2</v>
      </c>
      <c r="X40" s="59">
        <v>2</v>
      </c>
      <c r="Y40" s="59">
        <v>1</v>
      </c>
      <c r="Z40" s="59">
        <v>1</v>
      </c>
      <c r="AA40" s="59">
        <v>6</v>
      </c>
      <c r="AB40" s="59">
        <v>2</v>
      </c>
      <c r="AI40" s="407">
        <v>98</v>
      </c>
    </row>
    <row r="41" spans="2:35" ht="18.75" customHeight="1" x14ac:dyDescent="0.15">
      <c r="B41" s="92" t="s">
        <v>161</v>
      </c>
      <c r="C41" s="93">
        <f t="shared" ref="C41:J41" si="11">SUM(C38:C40)</f>
        <v>1136</v>
      </c>
      <c r="D41" s="94">
        <f t="shared" si="11"/>
        <v>1</v>
      </c>
      <c r="E41" s="95">
        <f t="shared" si="11"/>
        <v>315</v>
      </c>
      <c r="F41" s="94">
        <f t="shared" si="11"/>
        <v>1</v>
      </c>
      <c r="G41" s="115">
        <f t="shared" si="11"/>
        <v>102</v>
      </c>
      <c r="H41" s="116">
        <f t="shared" si="11"/>
        <v>1</v>
      </c>
      <c r="I41" s="115">
        <f t="shared" si="11"/>
        <v>104</v>
      </c>
      <c r="J41" s="116">
        <f t="shared" si="11"/>
        <v>1</v>
      </c>
      <c r="K41" s="38">
        <f>SUM(C41,E41,G41,I41)</f>
        <v>1657</v>
      </c>
      <c r="L41" s="33"/>
      <c r="M41" s="42"/>
      <c r="N41" s="42"/>
      <c r="O41" s="42"/>
      <c r="P41" s="42"/>
      <c r="Q41" s="42"/>
      <c r="R41" s="42"/>
      <c r="S41" s="42"/>
      <c r="T41" s="42"/>
      <c r="U41" s="42"/>
      <c r="V41" s="42"/>
      <c r="W41" s="42"/>
      <c r="X41" s="42"/>
      <c r="Y41" s="42"/>
      <c r="Z41" s="42"/>
      <c r="AA41" s="42"/>
      <c r="AB41" s="42"/>
      <c r="AI41" s="407">
        <v>99</v>
      </c>
    </row>
    <row r="42" spans="2:35" ht="18.75" customHeight="1" thickBot="1" x14ac:dyDescent="0.2">
      <c r="B42" s="96"/>
      <c r="C42" s="97"/>
      <c r="D42" s="98"/>
      <c r="E42" s="99"/>
      <c r="F42" s="98"/>
      <c r="G42" s="99"/>
      <c r="H42" s="98"/>
      <c r="I42" s="99"/>
      <c r="J42" s="98"/>
      <c r="K42" s="38"/>
      <c r="L42" s="33"/>
      <c r="M42" s="42"/>
      <c r="N42" s="42"/>
      <c r="O42" s="42"/>
      <c r="P42" s="42"/>
      <c r="Q42" s="42"/>
      <c r="R42" s="42"/>
      <c r="S42" s="42"/>
      <c r="T42" s="42"/>
      <c r="U42" s="42"/>
      <c r="V42" s="42"/>
      <c r="W42" s="42"/>
      <c r="X42" s="42"/>
      <c r="Y42" s="42"/>
      <c r="Z42" s="42"/>
      <c r="AA42" s="42"/>
      <c r="AB42" s="42"/>
      <c r="AI42" s="407"/>
    </row>
    <row r="43" spans="2:35" ht="18.75" customHeight="1" thickTop="1" thickBot="1" x14ac:dyDescent="0.2">
      <c r="B43" s="100" t="s">
        <v>242</v>
      </c>
      <c r="C43" s="935"/>
      <c r="D43" s="936"/>
      <c r="E43" s="936"/>
      <c r="F43" s="936"/>
      <c r="G43" s="936"/>
      <c r="H43" s="936"/>
      <c r="I43" s="936"/>
      <c r="J43" s="937"/>
      <c r="K43" s="38"/>
      <c r="L43" s="488" t="s">
        <v>373</v>
      </c>
      <c r="M43" s="55" t="s">
        <v>182</v>
      </c>
      <c r="N43" s="55" t="s">
        <v>183</v>
      </c>
      <c r="O43" s="55" t="s">
        <v>184</v>
      </c>
      <c r="P43" s="55" t="s">
        <v>185</v>
      </c>
      <c r="Q43" s="55" t="s">
        <v>186</v>
      </c>
      <c r="R43" s="55" t="s">
        <v>187</v>
      </c>
      <c r="S43" s="55" t="s">
        <v>188</v>
      </c>
      <c r="T43" s="55" t="s">
        <v>189</v>
      </c>
      <c r="U43" s="55" t="s">
        <v>190</v>
      </c>
      <c r="V43" s="55" t="s">
        <v>191</v>
      </c>
      <c r="W43" s="55" t="s">
        <v>192</v>
      </c>
      <c r="X43" s="55" t="s">
        <v>193</v>
      </c>
      <c r="Y43" s="55" t="s">
        <v>194</v>
      </c>
      <c r="Z43" s="55" t="s">
        <v>195</v>
      </c>
      <c r="AA43" s="55" t="s">
        <v>196</v>
      </c>
      <c r="AB43" s="55" t="s">
        <v>197</v>
      </c>
      <c r="AI43" s="407"/>
    </row>
    <row r="44" spans="2:35" ht="18.75" customHeight="1" thickTop="1" x14ac:dyDescent="0.15">
      <c r="B44" s="101" t="s">
        <v>34</v>
      </c>
      <c r="C44" s="88">
        <f>IFERROR(INDEX(阻害要因有無×在院期間区分＿寛解・院内寛解[#All],MATCH($AI45,阻害要因有無×在院期間区分＿寛解・院内寛解[[#All],[行ラベル]],0),MATCH($AJ$4,阻害要因有無×在院期間区分＿寛解・院内寛解[#Headers],0)),0)+IFERROR(INDEX(阻害要因有無×在院期間区分＿寛解・院内寛解[#All],MATCH($AI45,阻害要因有無×在院期間区分＿寛解・院内寛解[[#All],[行ラベル]],0),MATCH($AK$4,阻害要因有無×在院期間区分＿寛解・院内寛解[#Headers],0)),0)+IFERROR(INDEX(阻害要因有無×在院期間区分＿寛解・院内寛解[#All],MATCH($AI45,阻害要因有無×在院期間区分＿寛解・院内寛解[[#All],[行ラベル]],0),MATCH($AL$4,阻害要因有無×在院期間区分＿寛解・院内寛解[#Headers],0)),0)+IFERROR(INDEX(阻害要因有無×在院期間区分＿寛解・院内寛解[#All],MATCH($AI45,阻害要因有無×在院期間区分＿寛解・院内寛解[[#All],[行ラベル]],0),MATCH($AM$4,阻害要因有無×在院期間区分＿寛解・院内寛解[#Headers],0)),0)</f>
        <v>208</v>
      </c>
      <c r="D44" s="89">
        <f>IFERROR(C44/C$38,"-")</f>
        <v>0.65408805031446537</v>
      </c>
      <c r="E44" s="88">
        <f>IFERROR(INDEX(阻害要因有無×在院期間区分＿寛解・院内寛解[#All],MATCH($AI45,阻害要因有無×在院期間区分＿寛解・院内寛解[[#All],[行ラベル]],0),MATCH($AN$4,阻害要因有無×在院期間区分＿寛解・院内寛解[#Headers],0)),0)+IFERROR(INDEX(阻害要因有無×在院期間区分＿寛解・院内寛解[#All],MATCH($AI45,阻害要因有無×在院期間区分＿寛解・院内寛解[[#All],[行ラベル]],0),MATCH($AO$4,阻害要因有無×在院期間区分＿寛解・院内寛解[#Headers],0)),0)+IFERROR(INDEX(阻害要因有無×在院期間区分＿寛解・院内寛解[#All],MATCH($AI45,阻害要因有無×在院期間区分＿寛解・院内寛解[[#All],[行ラベル]],0),MATCH($AP$4,阻害要因有無×在院期間区分＿寛解・院内寛解[#Headers],0)),0)+IFERROR(INDEX(阻害要因有無×在院期間区分＿寛解・院内寛解[#All],MATCH($AI45,阻害要因有無×在院期間区分＿寛解・院内寛解[[#All],[行ラベル]],0),MATCH($AQ$4,阻害要因有無×在院期間区分＿寛解・院内寛解[#Headers],0)),0)+IFERROR(INDEX(阻害要因有無×在院期間区分＿寛解・院内寛解[#All],MATCH($AI45,阻害要因有無×在院期間区分＿寛解・院内寛解[[#All],[行ラベル]],0),MATCH($AR$4,阻害要因有無×在院期間区分＿寛解・院内寛解[#Headers],0)),0)</f>
        <v>154</v>
      </c>
      <c r="F44" s="89">
        <f>IFERROR(E44/E$38,"-")</f>
        <v>0.89534883720930236</v>
      </c>
      <c r="G44" s="88">
        <f>IFERROR(INDEX(阻害要因有無×在院期間区分＿寛解・院内寛解[#All],MATCH($AI45,阻害要因有無×在院期間区分＿寛解・院内寛解[[#All],[行ラベル]],0),MATCH($AS$4,阻害要因有無×在院期間区分＿寛解・院内寛解[#Headers],0)),0)+IFERROR(INDEX(阻害要因有無×在院期間区分＿寛解・院内寛解[#All],MATCH($AI45,阻害要因有無×在院期間区分＿寛解・院内寛解[[#All],[行ラベル]],0),MATCH($AT$4,阻害要因有無×在院期間区分＿寛解・院内寛解[#Headers],0)),0)+IFERROR(INDEX(阻害要因有無×在院期間区分＿寛解・院内寛解[#All],MATCH($AI45,阻害要因有無×在院期間区分＿寛解・院内寛解[[#All],[行ラベル]],0),MATCH($AU$4,阻害要因有無×在院期間区分＿寛解・院内寛解[#Headers],0)),0)+IFERROR(INDEX(阻害要因有無×在院期間区分＿寛解・院内寛解[#All],MATCH($AI45,阻害要因有無×在院期間区分＿寛解・院内寛解[[#All],[行ラベル]],0),MATCH($AV$4,阻害要因有無×在院期間区分＿寛解・院内寛解[#Headers],0)),0)+IFERROR(INDEX(阻害要因有無×在院期間区分＿寛解・院内寛解[#All],MATCH($AI45,阻害要因有無×在院期間区分＿寛解・院内寛解[[#All],[行ラベル]],0),MATCH($AW$4,阻害要因有無×在院期間区分＿寛解・院内寛解[#Headers],0)),0)</f>
        <v>63</v>
      </c>
      <c r="H44" s="89">
        <f>IFERROR(G44/G$38,"-")</f>
        <v>0.92647058823529416</v>
      </c>
      <c r="I44" s="88">
        <f>IFERROR(INDEX(阻害要因有無×在院期間区分＿寛解・院内寛解[#All],MATCH($AI45,阻害要因有無×在院期間区分＿寛解・院内寛解[[#All],[行ラベル]],0),MATCH($AX$4,阻害要因有無×在院期間区分＿寛解・院内寛解[#Headers],0)),0)+IFERROR(INDEX(阻害要因有無×在院期間区分＿寛解・院内寛解[#All],MATCH($AI45,阻害要因有無×在院期間区分＿寛解・院内寛解[[#All],[行ラベル]],0),MATCH($AY$4,阻害要因有無×在院期間区分＿寛解・院内寛解[#Headers],0)),0)</f>
        <v>63</v>
      </c>
      <c r="J44" s="89">
        <f>IFERROR(I44/I$38,"-")</f>
        <v>0.96923076923076923</v>
      </c>
      <c r="K44" s="38">
        <f>SUM(C44,E44,G44,I44)</f>
        <v>488</v>
      </c>
      <c r="L44" s="33">
        <v>91</v>
      </c>
      <c r="M44" s="59">
        <v>31</v>
      </c>
      <c r="N44" s="59">
        <v>70</v>
      </c>
      <c r="O44" s="59">
        <v>39</v>
      </c>
      <c r="P44" s="59">
        <v>68</v>
      </c>
      <c r="Q44" s="59">
        <v>30</v>
      </c>
      <c r="R44" s="59">
        <v>27</v>
      </c>
      <c r="S44" s="59">
        <v>41</v>
      </c>
      <c r="T44" s="59">
        <v>39</v>
      </c>
      <c r="U44" s="59">
        <v>17</v>
      </c>
      <c r="V44" s="59">
        <v>21</v>
      </c>
      <c r="W44" s="59">
        <v>13</v>
      </c>
      <c r="X44" s="59">
        <v>15</v>
      </c>
      <c r="Y44" s="59">
        <v>8</v>
      </c>
      <c r="Z44" s="59">
        <v>6</v>
      </c>
      <c r="AA44" s="59">
        <v>42</v>
      </c>
      <c r="AB44" s="59">
        <v>21</v>
      </c>
      <c r="AI44" s="407"/>
    </row>
    <row r="45" spans="2:35" ht="18.75" customHeight="1" x14ac:dyDescent="0.15">
      <c r="B45" s="91" t="s">
        <v>35</v>
      </c>
      <c r="C45" s="69">
        <f>IFERROR(INDEX(阻害要因有無×在院期間区分＿寛解・院内寛解[#All],MATCH($AI46,阻害要因有無×在院期間区分＿寛解・院内寛解[[#All],[行ラベル]],0),MATCH($AJ$4,阻害要因有無×在院期間区分＿寛解・院内寛解[#Headers],0)),0)+IFERROR(INDEX(阻害要因有無×在院期間区分＿寛解・院内寛解[#All],MATCH($AI46,阻害要因有無×在院期間区分＿寛解・院内寛解[[#All],[行ラベル]],0),MATCH($AK$4,阻害要因有無×在院期間区分＿寛解・院内寛解[#Headers],0)),0)+IFERROR(INDEX(阻害要因有無×在院期間区分＿寛解・院内寛解[#All],MATCH($AI46,阻害要因有無×在院期間区分＿寛解・院内寛解[[#All],[行ラベル]],0),MATCH($AL$4,阻害要因有無×在院期間区分＿寛解・院内寛解[#Headers],0)),0)+IFERROR(INDEX(阻害要因有無×在院期間区分＿寛解・院内寛解[#All],MATCH($AI46,阻害要因有無×在院期間区分＿寛解・院内寛解[[#All],[行ラベル]],0),MATCH($AM$4,阻害要因有無×在院期間区分＿寛解・院内寛解[#Headers],0)),0)</f>
        <v>110</v>
      </c>
      <c r="D45" s="68">
        <f>IFERROR(C45/C$38,"-")</f>
        <v>0.34591194968553457</v>
      </c>
      <c r="E45" s="69">
        <f>IFERROR(INDEX(阻害要因有無×在院期間区分＿寛解・院内寛解[#All],MATCH($AI46,阻害要因有無×在院期間区分＿寛解・院内寛解[[#All],[行ラベル]],0),MATCH($AN$4,阻害要因有無×在院期間区分＿寛解・院内寛解[#Headers],0)),0)+IFERROR(INDEX(阻害要因有無×在院期間区分＿寛解・院内寛解[#All],MATCH($AI46,阻害要因有無×在院期間区分＿寛解・院内寛解[[#All],[行ラベル]],0),MATCH($AO$4,阻害要因有無×在院期間区分＿寛解・院内寛解[#Headers],0)),0)+IFERROR(INDEX(阻害要因有無×在院期間区分＿寛解・院内寛解[#All],MATCH($AI46,阻害要因有無×在院期間区分＿寛解・院内寛解[[#All],[行ラベル]],0),MATCH($AP$4,阻害要因有無×在院期間区分＿寛解・院内寛解[#Headers],0)),0)+IFERROR(INDEX(阻害要因有無×在院期間区分＿寛解・院内寛解[#All],MATCH($AI46,阻害要因有無×在院期間区分＿寛解・院内寛解[[#All],[行ラベル]],0),MATCH($AQ$4,阻害要因有無×在院期間区分＿寛解・院内寛解[#Headers],0)),0)+IFERROR(INDEX(阻害要因有無×在院期間区分＿寛解・院内寛解[#All],MATCH($AI46,阻害要因有無×在院期間区分＿寛解・院内寛解[[#All],[行ラベル]],0),MATCH($AR$4,阻害要因有無×在院期間区分＿寛解・院内寛解[#Headers],0)),0)</f>
        <v>18</v>
      </c>
      <c r="F45" s="68">
        <f>IFERROR(E45/E$38,"-")</f>
        <v>0.10465116279069768</v>
      </c>
      <c r="G45" s="69">
        <f>IFERROR(INDEX(阻害要因有無×在院期間区分＿寛解・院内寛解[#All],MATCH($AI46,阻害要因有無×在院期間区分＿寛解・院内寛解[[#All],[行ラベル]],0),MATCH($AS$4,阻害要因有無×在院期間区分＿寛解・院内寛解[#Headers],0)),0)+IFERROR(INDEX(阻害要因有無×在院期間区分＿寛解・院内寛解[#All],MATCH($AI46,阻害要因有無×在院期間区分＿寛解・院内寛解[[#All],[行ラベル]],0),MATCH($AT$4,阻害要因有無×在院期間区分＿寛解・院内寛解[#Headers],0)),0)+IFERROR(INDEX(阻害要因有無×在院期間区分＿寛解・院内寛解[#All],MATCH($AI46,阻害要因有無×在院期間区分＿寛解・院内寛解[[#All],[行ラベル]],0),MATCH($AU$4,阻害要因有無×在院期間区分＿寛解・院内寛解[#Headers],0)),0)+IFERROR(INDEX(阻害要因有無×在院期間区分＿寛解・院内寛解[#All],MATCH($AI46,阻害要因有無×在院期間区分＿寛解・院内寛解[[#All],[行ラベル]],0),MATCH($AV$4,阻害要因有無×在院期間区分＿寛解・院内寛解[#Headers],0)),0)+IFERROR(INDEX(阻害要因有無×在院期間区分＿寛解・院内寛解[#All],MATCH($AI46,阻害要因有無×在院期間区分＿寛解・院内寛解[[#All],[行ラベル]],0),MATCH($AW$4,阻害要因有無×在院期間区分＿寛解・院内寛解[#Headers],0)),0)</f>
        <v>5</v>
      </c>
      <c r="H45" s="68">
        <f>IFERROR(G45/G$38,"-")</f>
        <v>7.3529411764705885E-2</v>
      </c>
      <c r="I45" s="69">
        <f>IFERROR(INDEX(阻害要因有無×在院期間区分＿寛解・院内寛解[#All],MATCH($AI46,阻害要因有無×在院期間区分＿寛解・院内寛解[[#All],[行ラベル]],0),MATCH($AX$4,阻害要因有無×在院期間区分＿寛解・院内寛解[#Headers],0)),0)+IFERROR(INDEX(阻害要因有無×在院期間区分＿寛解・院内寛解[#All],MATCH($AI46,阻害要因有無×在院期間区分＿寛解・院内寛解[[#All],[行ラベル]],0),MATCH($AY$4,阻害要因有無×在院期間区分＿寛解・院内寛解[#Headers],0)),0)</f>
        <v>2</v>
      </c>
      <c r="J45" s="68">
        <f>IFERROR(I45/I$38,"-")</f>
        <v>3.0769230769230771E-2</v>
      </c>
      <c r="K45" s="38">
        <f>SUM(C45,E45,G45,I45)</f>
        <v>135</v>
      </c>
      <c r="L45" s="33">
        <v>90</v>
      </c>
      <c r="M45" s="59">
        <v>29</v>
      </c>
      <c r="N45" s="59">
        <v>57</v>
      </c>
      <c r="O45" s="59">
        <v>15</v>
      </c>
      <c r="P45" s="59">
        <v>9</v>
      </c>
      <c r="Q45" s="59">
        <v>4</v>
      </c>
      <c r="R45" s="59">
        <v>5</v>
      </c>
      <c r="S45" s="59">
        <v>3</v>
      </c>
      <c r="T45" s="59">
        <v>4</v>
      </c>
      <c r="U45" s="59">
        <v>2</v>
      </c>
      <c r="V45" s="59">
        <v>2</v>
      </c>
      <c r="W45" s="59">
        <v>0</v>
      </c>
      <c r="X45" s="59">
        <v>2</v>
      </c>
      <c r="Y45" s="59">
        <v>1</v>
      </c>
      <c r="Z45" s="59">
        <v>0</v>
      </c>
      <c r="AA45" s="59">
        <v>0</v>
      </c>
      <c r="AB45" s="59">
        <v>2</v>
      </c>
      <c r="AI45" s="407">
        <v>91</v>
      </c>
    </row>
    <row r="46" spans="2:35" ht="18.75" customHeight="1" thickBot="1" x14ac:dyDescent="0.2">
      <c r="B46" s="102" t="s">
        <v>264</v>
      </c>
      <c r="C46" s="935"/>
      <c r="D46" s="936"/>
      <c r="E46" s="936"/>
      <c r="F46" s="936"/>
      <c r="G46" s="936"/>
      <c r="H46" s="936"/>
      <c r="I46" s="936"/>
      <c r="J46" s="937"/>
      <c r="K46" s="38"/>
      <c r="L46" s="33"/>
      <c r="M46" s="59">
        <v>279</v>
      </c>
      <c r="N46" s="59">
        <v>344</v>
      </c>
      <c r="O46" s="59">
        <v>120</v>
      </c>
      <c r="P46" s="59">
        <v>75</v>
      </c>
      <c r="Q46" s="59">
        <v>30</v>
      </c>
      <c r="R46" s="59">
        <v>28</v>
      </c>
      <c r="S46" s="59">
        <v>32</v>
      </c>
      <c r="T46" s="59">
        <v>28</v>
      </c>
      <c r="U46" s="59">
        <v>25</v>
      </c>
      <c r="V46" s="59">
        <v>14</v>
      </c>
      <c r="W46" s="59">
        <v>8</v>
      </c>
      <c r="X46" s="59">
        <v>6</v>
      </c>
      <c r="Y46" s="59">
        <v>5</v>
      </c>
      <c r="Z46" s="59">
        <v>1</v>
      </c>
      <c r="AA46" s="59">
        <v>26</v>
      </c>
      <c r="AB46" s="59">
        <v>13</v>
      </c>
      <c r="AI46" s="407">
        <v>90</v>
      </c>
    </row>
    <row r="47" spans="2:35" ht="19.5" customHeight="1" thickTop="1" thickBot="1" x14ac:dyDescent="0.2">
      <c r="B47" s="938" t="s">
        <v>274</v>
      </c>
      <c r="C47" s="939"/>
      <c r="D47" s="939"/>
      <c r="E47" s="939"/>
      <c r="F47" s="939"/>
      <c r="G47" s="939"/>
      <c r="H47" s="939"/>
      <c r="I47" s="939"/>
      <c r="J47" s="940"/>
      <c r="K47" s="38">
        <f>SUM(C48,E48,G48,I48)</f>
        <v>131</v>
      </c>
      <c r="L47" s="488" t="s">
        <v>619</v>
      </c>
      <c r="M47" s="55" t="s">
        <v>182</v>
      </c>
      <c r="N47" s="55" t="s">
        <v>183</v>
      </c>
      <c r="O47" s="55" t="s">
        <v>184</v>
      </c>
      <c r="P47" s="55" t="s">
        <v>185</v>
      </c>
      <c r="Q47" s="55" t="s">
        <v>186</v>
      </c>
      <c r="R47" s="55" t="s">
        <v>187</v>
      </c>
      <c r="S47" s="55" t="s">
        <v>188</v>
      </c>
      <c r="T47" s="55" t="s">
        <v>189</v>
      </c>
      <c r="U47" s="55" t="s">
        <v>190</v>
      </c>
      <c r="V47" s="55" t="s">
        <v>191</v>
      </c>
      <c r="W47" s="55" t="s">
        <v>192</v>
      </c>
      <c r="X47" s="55" t="s">
        <v>193</v>
      </c>
      <c r="Y47" s="55" t="s">
        <v>194</v>
      </c>
      <c r="Z47" s="55" t="s">
        <v>195</v>
      </c>
      <c r="AA47" s="55" t="s">
        <v>196</v>
      </c>
      <c r="AB47" s="55" t="s">
        <v>197</v>
      </c>
      <c r="AI47" s="407"/>
    </row>
    <row r="48" spans="2:35" ht="37.5" customHeight="1" thickTop="1" x14ac:dyDescent="0.15">
      <c r="B48" s="103" t="s">
        <v>235</v>
      </c>
      <c r="C48" s="64">
        <f>IFERROR(INDEX(阻害要因×在院期間区分＿寛解・院内寛解[#All],MATCH($AI49,阻害要因×在院期間区分＿寛解・院内寛解[[#All],[値]],0),MATCH($AJ$4,阻害要因×在院期間区分＿寛解・院内寛解[#Headers],0)),0)+IFERROR(INDEX(阻害要因×在院期間区分＿寛解・院内寛解[#All],MATCH($AI49,阻害要因×在院期間区分＿寛解・院内寛解[[#All],[値]],0),MATCH($AK$4,阻害要因×在院期間区分＿寛解・院内寛解[#Headers],0)),0)+IFERROR(INDEX(阻害要因×在院期間区分＿寛解・院内寛解[#All],MATCH($AI49,阻害要因×在院期間区分＿寛解・院内寛解[[#All],[値]],0),MATCH($AL$4,阻害要因×在院期間区分＿寛解・院内寛解[#Headers],0)),0)+IFERROR(INDEX(阻害要因×在院期間区分＿寛解・院内寛解[#All],MATCH($AI49,阻害要因×在院期間区分＿寛解・院内寛解[[#All],[値]],0),MATCH($AM$4,阻害要因×在院期間区分＿寛解・院内寛解[#Headers],0)),0)</f>
        <v>50</v>
      </c>
      <c r="D48" s="63">
        <f t="shared" ref="D48:D64" si="12">IFERROR(C48/C$44,"-")</f>
        <v>0.24038461538461539</v>
      </c>
      <c r="E48" s="64">
        <f>IFERROR(INDEX(阻害要因×在院期間区分＿寛解・院内寛解[#All],MATCH($AI49,阻害要因×在院期間区分＿寛解・院内寛解[[#All],[値]],0),MATCH($AN$4,阻害要因×在院期間区分＿寛解・院内寛解[#Headers],0)),0)+IFERROR(INDEX(阻害要因×在院期間区分＿寛解・院内寛解[#All],MATCH($AI49,阻害要因×在院期間区分＿寛解・院内寛解[[#All],[値]],0),MATCH($AO$4,阻害要因×在院期間区分＿寛解・院内寛解[#Headers],0)),0)+IFERROR(INDEX(阻害要因×在院期間区分＿寛解・院内寛解[#All],MATCH($AI49,阻害要因×在院期間区分＿寛解・院内寛解[[#All],[値]],0),MATCH($AP$4,阻害要因×在院期間区分＿寛解・院内寛解[#Headers],0)),0)+IFERROR(INDEX(阻害要因×在院期間区分＿寛解・院内寛解[#All],MATCH($AI49,阻害要因×在院期間区分＿寛解・院内寛解[[#All],[値]],0),MATCH($AQ$4,阻害要因×在院期間区分＿寛解・院内寛解[#Headers],0)),0)+IFERROR(INDEX(阻害要因×在院期間区分＿寛解・院内寛解[#All],MATCH($AI49,阻害要因×在院期間区分＿寛解・院内寛解[[#All],[値]],0),MATCH($AR$4,阻害要因×在院期間区分＿寛解・院内寛解[#Headers],0)),0)</f>
        <v>36</v>
      </c>
      <c r="F48" s="63">
        <f t="shared" ref="F48:F64" si="13">IFERROR(E48/E$44,"-")</f>
        <v>0.23376623376623376</v>
      </c>
      <c r="G48" s="64">
        <f>IFERROR(INDEX(阻害要因×在院期間区分＿寛解・院内寛解[#All],MATCH($AI49,阻害要因×在院期間区分＿寛解・院内寛解[[#All],[値]],0),MATCH($AS$4,阻害要因×在院期間区分＿寛解・院内寛解[#Headers],0)),0)+IFERROR(INDEX(阻害要因×在院期間区分＿寛解・院内寛解[#All],MATCH($AI49,阻害要因×在院期間区分＿寛解・院内寛解[[#All],[値]],0),MATCH($AT$4,阻害要因×在院期間区分＿寛解・院内寛解[#Headers],0)),0)+IFERROR(INDEX(阻害要因×在院期間区分＿寛解・院内寛解[#All],MATCH($AI49,阻害要因×在院期間区分＿寛解・院内寛解[[#All],[値]],0),MATCH($AU$4,阻害要因×在院期間区分＿寛解・院内寛解[#Headers],0)),0)+IFERROR(INDEX(阻害要因×在院期間区分＿寛解・院内寛解[#All],MATCH($AI49,阻害要因×在院期間区分＿寛解・院内寛解[[#All],[値]],0),MATCH($AV$4,阻害要因×在院期間区分＿寛解・院内寛解[#Headers],0)),0)+IFERROR(INDEX(阻害要因×在院期間区分＿寛解・院内寛解[#All],MATCH($AI49,阻害要因×在院期間区分＿寛解・院内寛解[[#All],[値]],0),MATCH($AW$4,阻害要因×在院期間区分＿寛解・院内寛解[#Headers],0)),0)</f>
        <v>27</v>
      </c>
      <c r="H48" s="63">
        <f t="shared" ref="H48:H64" si="14">IFERROR(G48/G$44,"-")</f>
        <v>0.42857142857142855</v>
      </c>
      <c r="I48" s="64">
        <f>IFERROR(INDEX(阻害要因×在院期間区分＿寛解・院内寛解[#All],MATCH($AI49,阻害要因×在院期間区分＿寛解・院内寛解[[#All],[値]],0),MATCH($AX$4,阻害要因×在院期間区分＿寛解・院内寛解[#Headers],0)),0)+IFERROR(INDEX(阻害要因×在院期間区分＿寛解・院内寛解[#All],MATCH($AI49,阻害要因×在院期間区分＿寛解・院内寛解[[#All],[値]],0),MATCH($AY$4,阻害要因×在院期間区分＿寛解・院内寛解[#Headers],0)),0)</f>
        <v>18</v>
      </c>
      <c r="J48" s="63">
        <f t="shared" ref="J48:J64" si="15">IFERROR(I48/I$44,"-")</f>
        <v>0.2857142857142857</v>
      </c>
      <c r="K48" s="38">
        <f>SUM(C48,E48,G48,I48)</f>
        <v>131</v>
      </c>
      <c r="L48" s="33" t="s">
        <v>309</v>
      </c>
      <c r="M48" s="65">
        <v>10</v>
      </c>
      <c r="N48" s="65">
        <v>24</v>
      </c>
      <c r="O48" s="65">
        <v>5</v>
      </c>
      <c r="P48" s="65">
        <v>11</v>
      </c>
      <c r="Q48" s="65">
        <v>8</v>
      </c>
      <c r="R48" s="65">
        <v>6</v>
      </c>
      <c r="S48" s="65">
        <v>10</v>
      </c>
      <c r="T48" s="65">
        <v>7</v>
      </c>
      <c r="U48" s="65">
        <v>5</v>
      </c>
      <c r="V48" s="65">
        <v>10</v>
      </c>
      <c r="W48" s="65">
        <v>6</v>
      </c>
      <c r="X48" s="65">
        <v>9</v>
      </c>
      <c r="Y48" s="65">
        <v>0</v>
      </c>
      <c r="Z48" s="65">
        <v>2</v>
      </c>
      <c r="AA48" s="65">
        <v>14</v>
      </c>
      <c r="AB48" s="65">
        <v>4</v>
      </c>
      <c r="AI48" s="407"/>
    </row>
    <row r="49" spans="2:35" ht="18.75" customHeight="1" x14ac:dyDescent="0.15">
      <c r="B49" s="104" t="s">
        <v>66</v>
      </c>
      <c r="C49" s="69">
        <f>IFERROR(INDEX(阻害要因×在院期間区分＿寛解・院内寛解[#All],MATCH($AI50,阻害要因×在院期間区分＿寛解・院内寛解[[#All],[値]],0),MATCH($AJ$4,阻害要因×在院期間区分＿寛解・院内寛解[#Headers],0)),0)+IFERROR(INDEX(阻害要因×在院期間区分＿寛解・院内寛解[#All],MATCH($AI50,阻害要因×在院期間区分＿寛解・院内寛解[[#All],[値]],0),MATCH($AK$4,阻害要因×在院期間区分＿寛解・院内寛解[#Headers],0)),0)+IFERROR(INDEX(阻害要因×在院期間区分＿寛解・院内寛解[#All],MATCH($AI50,阻害要因×在院期間区分＿寛解・院内寛解[[#All],[値]],0),MATCH($AL$4,阻害要因×在院期間区分＿寛解・院内寛解[#Headers],0)),0)+IFERROR(INDEX(阻害要因×在院期間区分＿寛解・院内寛解[#All],MATCH($AI50,阻害要因×在院期間区分＿寛解・院内寛解[[#All],[値]],0),MATCH($AM$4,阻害要因×在院期間区分＿寛解・院内寛解[#Headers],0)),0)</f>
        <v>44</v>
      </c>
      <c r="D49" s="72">
        <f t="shared" si="12"/>
        <v>0.21153846153846154</v>
      </c>
      <c r="E49" s="69">
        <f>IFERROR(INDEX(阻害要因×在院期間区分＿寛解・院内寛解[#All],MATCH($AI50,阻害要因×在院期間区分＿寛解・院内寛解[[#All],[値]],0),MATCH($AN$4,阻害要因×在院期間区分＿寛解・院内寛解[#Headers],0)),0)+IFERROR(INDEX(阻害要因×在院期間区分＿寛解・院内寛解[#All],MATCH($AI50,阻害要因×在院期間区分＿寛解・院内寛解[[#All],[値]],0),MATCH($AO$4,阻害要因×在院期間区分＿寛解・院内寛解[#Headers],0)),0)+IFERROR(INDEX(阻害要因×在院期間区分＿寛解・院内寛解[#All],MATCH($AI50,阻害要因×在院期間区分＿寛解・院内寛解[[#All],[値]],0),MATCH($AP$4,阻害要因×在院期間区分＿寛解・院内寛解[#Headers],0)),0)+IFERROR(INDEX(阻害要因×在院期間区分＿寛解・院内寛解[#All],MATCH($AI50,阻害要因×在院期間区分＿寛解・院内寛解[[#All],[値]],0),MATCH($AQ$4,阻害要因×在院期間区分＿寛解・院内寛解[#Headers],0)),0)+IFERROR(INDEX(阻害要因×在院期間区分＿寛解・院内寛解[#All],MATCH($AI50,阻害要因×在院期間区分＿寛解・院内寛解[[#All],[値]],0),MATCH($AR$4,阻害要因×在院期間区分＿寛解・院内寛解[#Headers],0)),0)</f>
        <v>35</v>
      </c>
      <c r="F49" s="72">
        <f t="shared" si="13"/>
        <v>0.22727272727272727</v>
      </c>
      <c r="G49" s="69">
        <f>IFERROR(INDEX(阻害要因×在院期間区分＿寛解・院内寛解[#All],MATCH($AI50,阻害要因×在院期間区分＿寛解・院内寛解[[#All],[値]],0),MATCH($AS$4,阻害要因×在院期間区分＿寛解・院内寛解[#Headers],0)),0)+IFERROR(INDEX(阻害要因×在院期間区分＿寛解・院内寛解[#All],MATCH($AI50,阻害要因×在院期間区分＿寛解・院内寛解[[#All],[値]],0),MATCH($AT$4,阻害要因×在院期間区分＿寛解・院内寛解[#Headers],0)),0)+IFERROR(INDEX(阻害要因×在院期間区分＿寛解・院内寛解[#All],MATCH($AI50,阻害要因×在院期間区分＿寛解・院内寛解[[#All],[値]],0),MATCH($AU$4,阻害要因×在院期間区分＿寛解・院内寛解[#Headers],0)),0)+IFERROR(INDEX(阻害要因×在院期間区分＿寛解・院内寛解[#All],MATCH($AI50,阻害要因×在院期間区分＿寛解・院内寛解[[#All],[値]],0),MATCH($AV$4,阻害要因×在院期間区分＿寛解・院内寛解[#Headers],0)),0)+IFERROR(INDEX(阻害要因×在院期間区分＿寛解・院内寛解[#All],MATCH($AI50,阻害要因×在院期間区分＿寛解・院内寛解[[#All],[値]],0),MATCH($AW$4,阻害要因×在院期間区分＿寛解・院内寛解[#Headers],0)),0)</f>
        <v>13</v>
      </c>
      <c r="H49" s="72">
        <f t="shared" si="14"/>
        <v>0.20634920634920634</v>
      </c>
      <c r="I49" s="69">
        <f>IFERROR(INDEX(阻害要因×在院期間区分＿寛解・院内寛解[#All],MATCH($AI50,阻害要因×在院期間区分＿寛解・院内寛解[[#All],[値]],0),MATCH($AX$4,阻害要因×在院期間区分＿寛解・院内寛解[#Headers],0)),0)+IFERROR(INDEX(阻害要因×在院期間区分＿寛解・院内寛解[#All],MATCH($AI50,阻害要因×在院期間区分＿寛解・院内寛解[[#All],[値]],0),MATCH($AY$4,阻害要因×在院期間区分＿寛解・院内寛解[#Headers],0)),0)</f>
        <v>11</v>
      </c>
      <c r="J49" s="72">
        <f t="shared" si="15"/>
        <v>0.17460317460317459</v>
      </c>
      <c r="K49" s="38">
        <f t="shared" ref="K49:K67" si="16">SUM(C49,E49,G49,I49)</f>
        <v>103</v>
      </c>
      <c r="L49" s="55" t="s">
        <v>310</v>
      </c>
      <c r="M49" s="65">
        <v>2</v>
      </c>
      <c r="N49" s="65">
        <v>17</v>
      </c>
      <c r="O49" s="65">
        <v>11</v>
      </c>
      <c r="P49" s="65">
        <v>14</v>
      </c>
      <c r="Q49" s="65">
        <v>8</v>
      </c>
      <c r="R49" s="65">
        <v>5</v>
      </c>
      <c r="S49" s="65">
        <v>7</v>
      </c>
      <c r="T49" s="65">
        <v>12</v>
      </c>
      <c r="U49" s="65">
        <v>3</v>
      </c>
      <c r="V49" s="65">
        <v>4</v>
      </c>
      <c r="W49" s="65">
        <v>2</v>
      </c>
      <c r="X49" s="65">
        <v>1</v>
      </c>
      <c r="Y49" s="65">
        <v>4</v>
      </c>
      <c r="Z49" s="65">
        <v>2</v>
      </c>
      <c r="AA49" s="65">
        <v>8</v>
      </c>
      <c r="AB49" s="65">
        <v>3</v>
      </c>
      <c r="AI49" s="407" t="s">
        <v>309</v>
      </c>
    </row>
    <row r="50" spans="2:35" ht="18.75" customHeight="1" x14ac:dyDescent="0.15">
      <c r="B50" s="104" t="s">
        <v>38</v>
      </c>
      <c r="C50" s="119">
        <f>IFERROR(INDEX(阻害要因×在院期間区分＿寛解・院内寛解[#All],MATCH($AI51,阻害要因×在院期間区分＿寛解・院内寛解[[#All],[値]],0),MATCH($AJ$4,阻害要因×在院期間区分＿寛解・院内寛解[#Headers],0)),0)+IFERROR(INDEX(阻害要因×在院期間区分＿寛解・院内寛解[#All],MATCH($AI51,阻害要因×在院期間区分＿寛解・院内寛解[[#All],[値]],0),MATCH($AK$4,阻害要因×在院期間区分＿寛解・院内寛解[#Headers],0)),0)+IFERROR(INDEX(阻害要因×在院期間区分＿寛解・院内寛解[#All],MATCH($AI51,阻害要因×在院期間区分＿寛解・院内寛解[[#All],[値]],0),MATCH($AL$4,阻害要因×在院期間区分＿寛解・院内寛解[#Headers],0)),0)+IFERROR(INDEX(阻害要因×在院期間区分＿寛解・院内寛解[#All],MATCH($AI51,阻害要因×在院期間区分＿寛解・院内寛解[[#All],[値]],0),MATCH($AM$4,阻害要因×在院期間区分＿寛解・院内寛解[#Headers],0)),0)</f>
        <v>6</v>
      </c>
      <c r="D50" s="72">
        <f t="shared" si="12"/>
        <v>2.8846153846153848E-2</v>
      </c>
      <c r="E50" s="70">
        <f>IFERROR(INDEX(阻害要因×在院期間区分＿寛解・院内寛解[#All],MATCH($AI51,阻害要因×在院期間区分＿寛解・院内寛解[[#All],[値]],0),MATCH($AN$4,阻害要因×在院期間区分＿寛解・院内寛解[#Headers],0)),0)+IFERROR(INDEX(阻害要因×在院期間区分＿寛解・院内寛解[#All],MATCH($AI51,阻害要因×在院期間区分＿寛解・院内寛解[[#All],[値]],0),MATCH($AO$4,阻害要因×在院期間区分＿寛解・院内寛解[#Headers],0)),0)+IFERROR(INDEX(阻害要因×在院期間区分＿寛解・院内寛解[#All],MATCH($AI51,阻害要因×在院期間区分＿寛解・院内寛解[[#All],[値]],0),MATCH($AP$4,阻害要因×在院期間区分＿寛解・院内寛解[#Headers],0)),0)+IFERROR(INDEX(阻害要因×在院期間区分＿寛解・院内寛解[#All],MATCH($AI51,阻害要因×在院期間区分＿寛解・院内寛解[[#All],[値]],0),MATCH($AQ$4,阻害要因×在院期間区分＿寛解・院内寛解[#Headers],0)),0)+IFERROR(INDEX(阻害要因×在院期間区分＿寛解・院内寛解[#All],MATCH($AI51,阻害要因×在院期間区分＿寛解・院内寛解[[#All],[値]],0),MATCH($AR$4,阻害要因×在院期間区分＿寛解・院内寛解[#Headers],0)),0)</f>
        <v>7</v>
      </c>
      <c r="F50" s="72">
        <f t="shared" si="13"/>
        <v>4.5454545454545456E-2</v>
      </c>
      <c r="G50" s="70">
        <f>IFERROR(INDEX(阻害要因×在院期間区分＿寛解・院内寛解[#All],MATCH($AI51,阻害要因×在院期間区分＿寛解・院内寛解[[#All],[値]],0),MATCH($AS$4,阻害要因×在院期間区分＿寛解・院内寛解[#Headers],0)),0)+IFERROR(INDEX(阻害要因×在院期間区分＿寛解・院内寛解[#All],MATCH($AI51,阻害要因×在院期間区分＿寛解・院内寛解[[#All],[値]],0),MATCH($AT$4,阻害要因×在院期間区分＿寛解・院内寛解[#Headers],0)),0)+IFERROR(INDEX(阻害要因×在院期間区分＿寛解・院内寛解[#All],MATCH($AI51,阻害要因×在院期間区分＿寛解・院内寛解[[#All],[値]],0),MATCH($AU$4,阻害要因×在院期間区分＿寛解・院内寛解[#Headers],0)),0)+IFERROR(INDEX(阻害要因×在院期間区分＿寛解・院内寛解[#All],MATCH($AI51,阻害要因×在院期間区分＿寛解・院内寛解[[#All],[値]],0),MATCH($AV$4,阻害要因×在院期間区分＿寛解・院内寛解[#Headers],0)),0)+IFERROR(INDEX(阻害要因×在院期間区分＿寛解・院内寛解[#All],MATCH($AI51,阻害要因×在院期間区分＿寛解・院内寛解[[#All],[値]],0),MATCH($AW$4,阻害要因×在院期間区分＿寛解・院内寛解[#Headers],0)),0)</f>
        <v>6</v>
      </c>
      <c r="H50" s="72">
        <f t="shared" si="14"/>
        <v>9.5238095238095233E-2</v>
      </c>
      <c r="I50" s="70">
        <f>IFERROR(INDEX(阻害要因×在院期間区分＿寛解・院内寛解[#All],MATCH($AI51,阻害要因×在院期間区分＿寛解・院内寛解[[#All],[値]],0),MATCH($AX$4,阻害要因×在院期間区分＿寛解・院内寛解[#Headers],0)),0)+IFERROR(INDEX(阻害要因×在院期間区分＿寛解・院内寛解[#All],MATCH($AI51,阻害要因×在院期間区分＿寛解・院内寛解[[#All],[値]],0),MATCH($AY$4,阻害要因×在院期間区分＿寛解・院内寛解[#Headers],0)),0)</f>
        <v>2</v>
      </c>
      <c r="J50" s="72">
        <f t="shared" si="15"/>
        <v>3.1746031746031744E-2</v>
      </c>
      <c r="K50" s="38">
        <f t="shared" si="16"/>
        <v>21</v>
      </c>
      <c r="L50" s="55" t="s">
        <v>166</v>
      </c>
      <c r="M50" s="65">
        <v>2</v>
      </c>
      <c r="N50" s="65">
        <v>3</v>
      </c>
      <c r="O50" s="65">
        <v>0</v>
      </c>
      <c r="P50" s="65">
        <v>1</v>
      </c>
      <c r="Q50" s="65">
        <v>3</v>
      </c>
      <c r="R50" s="65">
        <v>1</v>
      </c>
      <c r="S50" s="65">
        <v>0</v>
      </c>
      <c r="T50" s="65">
        <v>2</v>
      </c>
      <c r="U50" s="65">
        <v>1</v>
      </c>
      <c r="V50" s="65">
        <v>1</v>
      </c>
      <c r="W50" s="65">
        <v>2</v>
      </c>
      <c r="X50" s="65">
        <v>1</v>
      </c>
      <c r="Y50" s="65">
        <v>1</v>
      </c>
      <c r="Z50" s="65">
        <v>1</v>
      </c>
      <c r="AA50" s="65">
        <v>2</v>
      </c>
      <c r="AB50" s="65">
        <v>0</v>
      </c>
      <c r="AI50" s="407" t="s">
        <v>310</v>
      </c>
    </row>
    <row r="51" spans="2:35" ht="18.75" customHeight="1" x14ac:dyDescent="0.15">
      <c r="B51" s="104" t="s">
        <v>39</v>
      </c>
      <c r="C51" s="111">
        <f>IFERROR(INDEX(阻害要因×在院期間区分＿寛解・院内寛解[#All],MATCH($AI52,阻害要因×在院期間区分＿寛解・院内寛解[[#All],[値]],0),MATCH($AJ$4,阻害要因×在院期間区分＿寛解・院内寛解[#Headers],0)),0)+IFERROR(INDEX(阻害要因×在院期間区分＿寛解・院内寛解[#All],MATCH($AI52,阻害要因×在院期間区分＿寛解・院内寛解[[#All],[値]],0),MATCH($AK$4,阻害要因×在院期間区分＿寛解・院内寛解[#Headers],0)),0)+IFERROR(INDEX(阻害要因×在院期間区分＿寛解・院内寛解[#All],MATCH($AI52,阻害要因×在院期間区分＿寛解・院内寛解[[#All],[値]],0),MATCH($AL$4,阻害要因×在院期間区分＿寛解・院内寛解[#Headers],0)),0)+IFERROR(INDEX(阻害要因×在院期間区分＿寛解・院内寛解[#All],MATCH($AI52,阻害要因×在院期間区分＿寛解・院内寛解[[#All],[値]],0),MATCH($AM$4,阻害要因×在院期間区分＿寛解・院内寛解[#Headers],0)),0)</f>
        <v>40</v>
      </c>
      <c r="D51" s="72">
        <f t="shared" si="12"/>
        <v>0.19230769230769232</v>
      </c>
      <c r="E51" s="69">
        <f>IFERROR(INDEX(阻害要因×在院期間区分＿寛解・院内寛解[#All],MATCH($AI52,阻害要因×在院期間区分＿寛解・院内寛解[[#All],[値]],0),MATCH($AN$4,阻害要因×在院期間区分＿寛解・院内寛解[#Headers],0)),0)+IFERROR(INDEX(阻害要因×在院期間区分＿寛解・院内寛解[#All],MATCH($AI52,阻害要因×在院期間区分＿寛解・院内寛解[[#All],[値]],0),MATCH($AO$4,阻害要因×在院期間区分＿寛解・院内寛解[#Headers],0)),0)+IFERROR(INDEX(阻害要因×在院期間区分＿寛解・院内寛解[#All],MATCH($AI52,阻害要因×在院期間区分＿寛解・院内寛解[[#All],[値]],0),MATCH($AP$4,阻害要因×在院期間区分＿寛解・院内寛解[#Headers],0)),0)+IFERROR(INDEX(阻害要因×在院期間区分＿寛解・院内寛解[#All],MATCH($AI52,阻害要因×在院期間区分＿寛解・院内寛解[[#All],[値]],0),MATCH($AQ$4,阻害要因×在院期間区分＿寛解・院内寛解[#Headers],0)),0)+IFERROR(INDEX(阻害要因×在院期間区分＿寛解・院内寛解[#All],MATCH($AI52,阻害要因×在院期間区分＿寛解・院内寛解[[#All],[値]],0),MATCH($AR$4,阻害要因×在院期間区分＿寛解・院内寛解[#Headers],0)),0)</f>
        <v>71</v>
      </c>
      <c r="F51" s="72">
        <f t="shared" si="13"/>
        <v>0.46103896103896103</v>
      </c>
      <c r="G51" s="69">
        <f>IFERROR(INDEX(阻害要因×在院期間区分＿寛解・院内寛解[#All],MATCH($AI52,阻害要因×在院期間区分＿寛解・院内寛解[[#All],[値]],0),MATCH($AS$4,阻害要因×在院期間区分＿寛解・院内寛解[#Headers],0)),0)+IFERROR(INDEX(阻害要因×在院期間区分＿寛解・院内寛解[#All],MATCH($AI52,阻害要因×在院期間区分＿寛解・院内寛解[[#All],[値]],0),MATCH($AT$4,阻害要因×在院期間区分＿寛解・院内寛解[#Headers],0)),0)+IFERROR(INDEX(阻害要因×在院期間区分＿寛解・院内寛解[#All],MATCH($AI52,阻害要因×在院期間区分＿寛解・院内寛解[[#All],[値]],0),MATCH($AU$4,阻害要因×在院期間区分＿寛解・院内寛解[#Headers],0)),0)+IFERROR(INDEX(阻害要因×在院期間区分＿寛解・院内寛解[#All],MATCH($AI52,阻害要因×在院期間区分＿寛解・院内寛解[[#All],[値]],0),MATCH($AV$4,阻害要因×在院期間区分＿寛解・院内寛解[#Headers],0)),0)+IFERROR(INDEX(阻害要因×在院期間区分＿寛解・院内寛解[#All],MATCH($AI52,阻害要因×在院期間区分＿寛解・院内寛解[[#All],[値]],0),MATCH($AW$4,阻害要因×在院期間区分＿寛解・院内寛解[#Headers],0)),0)</f>
        <v>36</v>
      </c>
      <c r="H51" s="72">
        <f t="shared" si="14"/>
        <v>0.5714285714285714</v>
      </c>
      <c r="I51" s="69">
        <f>IFERROR(INDEX(阻害要因×在院期間区分＿寛解・院内寛解[#All],MATCH($AI52,阻害要因×在院期間区分＿寛解・院内寛解[[#All],[値]],0),MATCH($AX$4,阻害要因×在院期間区分＿寛解・院内寛解[#Headers],0)),0)+IFERROR(INDEX(阻害要因×在院期間区分＿寛解・院内寛解[#All],MATCH($AI52,阻害要因×在院期間区分＿寛解・院内寛解[[#All],[値]],0),MATCH($AY$4,阻害要因×在院期間区分＿寛解・院内寛解[#Headers],0)),0)</f>
        <v>33</v>
      </c>
      <c r="J51" s="72">
        <f t="shared" si="15"/>
        <v>0.52380952380952384</v>
      </c>
      <c r="K51" s="38">
        <f t="shared" si="16"/>
        <v>180</v>
      </c>
      <c r="L51" s="55" t="s">
        <v>167</v>
      </c>
      <c r="M51" s="65">
        <v>4</v>
      </c>
      <c r="N51" s="65">
        <v>13</v>
      </c>
      <c r="O51" s="65">
        <v>5</v>
      </c>
      <c r="P51" s="65">
        <v>18</v>
      </c>
      <c r="Q51" s="65">
        <v>14</v>
      </c>
      <c r="R51" s="65">
        <v>13</v>
      </c>
      <c r="S51" s="65">
        <v>22</v>
      </c>
      <c r="T51" s="65">
        <v>17</v>
      </c>
      <c r="U51" s="65">
        <v>5</v>
      </c>
      <c r="V51" s="65">
        <v>15</v>
      </c>
      <c r="W51" s="65">
        <v>8</v>
      </c>
      <c r="X51" s="65">
        <v>8</v>
      </c>
      <c r="Y51" s="65">
        <v>2</v>
      </c>
      <c r="Z51" s="65">
        <v>3</v>
      </c>
      <c r="AA51" s="65">
        <v>24</v>
      </c>
      <c r="AB51" s="65">
        <v>9</v>
      </c>
      <c r="AI51" s="407" t="s">
        <v>166</v>
      </c>
    </row>
    <row r="52" spans="2:35" ht="18.75" customHeight="1" x14ac:dyDescent="0.15">
      <c r="B52" s="104" t="s">
        <v>40</v>
      </c>
      <c r="C52" s="125">
        <f>IFERROR(INDEX(阻害要因×在院期間区分＿寛解・院内寛解[#All],MATCH($AI53,阻害要因×在院期間区分＿寛解・院内寛解[[#All],[値]],0),MATCH($AJ$4,阻害要因×在院期間区分＿寛解・院内寛解[#Headers],0)),0)+IFERROR(INDEX(阻害要因×在院期間区分＿寛解・院内寛解[#All],MATCH($AI53,阻害要因×在院期間区分＿寛解・院内寛解[[#All],[値]],0),MATCH($AK$4,阻害要因×在院期間区分＿寛解・院内寛解[#Headers],0)),0)+IFERROR(INDEX(阻害要因×在院期間区分＿寛解・院内寛解[#All],MATCH($AI53,阻害要因×在院期間区分＿寛解・院内寛解[[#All],[値]],0),MATCH($AL$4,阻害要因×在院期間区分＿寛解・院内寛解[#Headers],0)),0)+IFERROR(INDEX(阻害要因×在院期間区分＿寛解・院内寛解[#All],MATCH($AI53,阻害要因×在院期間区分＿寛解・院内寛解[[#All],[値]],0),MATCH($AM$4,阻害要因×在院期間区分＿寛解・院内寛解[#Headers],0)),0)</f>
        <v>65</v>
      </c>
      <c r="D52" s="72">
        <f t="shared" si="12"/>
        <v>0.3125</v>
      </c>
      <c r="E52" s="69">
        <f>IFERROR(INDEX(阻害要因×在院期間区分＿寛解・院内寛解[#All],MATCH($AI53,阻害要因×在院期間区分＿寛解・院内寛解[[#All],[値]],0),MATCH($AN$4,阻害要因×在院期間区分＿寛解・院内寛解[#Headers],0)),0)+IFERROR(INDEX(阻害要因×在院期間区分＿寛解・院内寛解[#All],MATCH($AI53,阻害要因×在院期間区分＿寛解・院内寛解[[#All],[値]],0),MATCH($AO$4,阻害要因×在院期間区分＿寛解・院内寛解[#Headers],0)),0)+IFERROR(INDEX(阻害要因×在院期間区分＿寛解・院内寛解[#All],MATCH($AI53,阻害要因×在院期間区分＿寛解・院内寛解[[#All],[値]],0),MATCH($AP$4,阻害要因×在院期間区分＿寛解・院内寛解[#Headers],0)),0)+IFERROR(INDEX(阻害要因×在院期間区分＿寛解・院内寛解[#All],MATCH($AI53,阻害要因×在院期間区分＿寛解・院内寛解[[#All],[値]],0),MATCH($AQ$4,阻害要因×在院期間区分＿寛解・院内寛解[#Headers],0)),0)+IFERROR(INDEX(阻害要因×在院期間区分＿寛解・院内寛解[#All],MATCH($AI53,阻害要因×在院期間区分＿寛解・院内寛解[[#All],[値]],0),MATCH($AR$4,阻害要因×在院期間区分＿寛解・院内寛解[#Headers],0)),0)</f>
        <v>38</v>
      </c>
      <c r="F52" s="72">
        <f t="shared" si="13"/>
        <v>0.24675324675324675</v>
      </c>
      <c r="G52" s="69">
        <f>IFERROR(INDEX(阻害要因×在院期間区分＿寛解・院内寛解[#All],MATCH($AI53,阻害要因×在院期間区分＿寛解・院内寛解[[#All],[値]],0),MATCH($AS$4,阻害要因×在院期間区分＿寛解・院内寛解[#Headers],0)),0)+IFERROR(INDEX(阻害要因×在院期間区分＿寛解・院内寛解[#All],MATCH($AI53,阻害要因×在院期間区分＿寛解・院内寛解[[#All],[値]],0),MATCH($AT$4,阻害要因×在院期間区分＿寛解・院内寛解[#Headers],0)),0)+IFERROR(INDEX(阻害要因×在院期間区分＿寛解・院内寛解[#All],MATCH($AI53,阻害要因×在院期間区分＿寛解・院内寛解[[#All],[値]],0),MATCH($AU$4,阻害要因×在院期間区分＿寛解・院内寛解[#Headers],0)),0)+IFERROR(INDEX(阻害要因×在院期間区分＿寛解・院内寛解[#All],MATCH($AI53,阻害要因×在院期間区分＿寛解・院内寛解[[#All],[値]],0),MATCH($AV$4,阻害要因×在院期間区分＿寛解・院内寛解[#Headers],0)),0)+IFERROR(INDEX(阻害要因×在院期間区分＿寛解・院内寛解[#All],MATCH($AI53,阻害要因×在院期間区分＿寛解・院内寛解[[#All],[値]],0),MATCH($AW$4,阻害要因×在院期間区分＿寛解・院内寛解[#Headers],0)),0)</f>
        <v>22</v>
      </c>
      <c r="H52" s="72">
        <f t="shared" si="14"/>
        <v>0.34920634920634919</v>
      </c>
      <c r="I52" s="69">
        <f>IFERROR(INDEX(阻害要因×在院期間区分＿寛解・院内寛解[#All],MATCH($AI53,阻害要因×在院期間区分＿寛解・院内寛解[[#All],[値]],0),MATCH($AX$4,阻害要因×在院期間区分＿寛解・院内寛解[#Headers],0)),0)+IFERROR(INDEX(阻害要因×在院期間区分＿寛解・院内寛解[#All],MATCH($AI53,阻害要因×在院期間区分＿寛解・院内寛解[[#All],[値]],0),MATCH($AY$4,阻害要因×在院期間区分＿寛解・院内寛解[#Headers],0)),0)</f>
        <v>25</v>
      </c>
      <c r="J52" s="72">
        <f t="shared" si="15"/>
        <v>0.3968253968253968</v>
      </c>
      <c r="K52" s="38">
        <f t="shared" si="16"/>
        <v>150</v>
      </c>
      <c r="L52" s="55" t="s">
        <v>168</v>
      </c>
      <c r="M52" s="65">
        <v>5</v>
      </c>
      <c r="N52" s="65">
        <v>23</v>
      </c>
      <c r="O52" s="65">
        <v>11</v>
      </c>
      <c r="P52" s="65">
        <v>26</v>
      </c>
      <c r="Q52" s="65">
        <v>13</v>
      </c>
      <c r="R52" s="65">
        <v>7</v>
      </c>
      <c r="S52" s="65">
        <v>8</v>
      </c>
      <c r="T52" s="65">
        <v>8</v>
      </c>
      <c r="U52" s="65">
        <v>2</v>
      </c>
      <c r="V52" s="65">
        <v>5</v>
      </c>
      <c r="W52" s="65">
        <v>6</v>
      </c>
      <c r="X52" s="65">
        <v>4</v>
      </c>
      <c r="Y52" s="65">
        <v>4</v>
      </c>
      <c r="Z52" s="65">
        <v>3</v>
      </c>
      <c r="AA52" s="65">
        <v>19</v>
      </c>
      <c r="AB52" s="65">
        <v>6</v>
      </c>
      <c r="AI52" s="407" t="s">
        <v>167</v>
      </c>
    </row>
    <row r="53" spans="2:35" ht="18.75" customHeight="1" x14ac:dyDescent="0.15">
      <c r="B53" s="104" t="s">
        <v>41</v>
      </c>
      <c r="C53" s="126">
        <f>IFERROR(INDEX(阻害要因×在院期間区分＿寛解・院内寛解[#All],MATCH($AI54,阻害要因×在院期間区分＿寛解・院内寛解[[#All],[値]],0),MATCH($AJ$4,阻害要因×在院期間区分＿寛解・院内寛解[#Headers],0)),0)+IFERROR(INDEX(阻害要因×在院期間区分＿寛解・院内寛解[#All],MATCH($AI54,阻害要因×在院期間区分＿寛解・院内寛解[[#All],[値]],0),MATCH($AK$4,阻害要因×在院期間区分＿寛解・院内寛解[#Headers],0)),0)+IFERROR(INDEX(阻害要因×在院期間区分＿寛解・院内寛解[#All],MATCH($AI54,阻害要因×在院期間区分＿寛解・院内寛解[[#All],[値]],0),MATCH($AL$4,阻害要因×在院期間区分＿寛解・院内寛解[#Headers],0)),0)+IFERROR(INDEX(阻害要因×在院期間区分＿寛解・院内寛解[#All],MATCH($AI54,阻害要因×在院期間区分＿寛解・院内寛解[[#All],[値]],0),MATCH($AM$4,阻害要因×在院期間区分＿寛解・院内寛解[#Headers],0)),0)</f>
        <v>34</v>
      </c>
      <c r="D53" s="72">
        <f t="shared" si="12"/>
        <v>0.16346153846153846</v>
      </c>
      <c r="E53" s="69">
        <f>IFERROR(INDEX(阻害要因×在院期間区分＿寛解・院内寛解[#All],MATCH($AI54,阻害要因×在院期間区分＿寛解・院内寛解[[#All],[値]],0),MATCH($AN$4,阻害要因×在院期間区分＿寛解・院内寛解[#Headers],0)),0)+IFERROR(INDEX(阻害要因×在院期間区分＿寛解・院内寛解[#All],MATCH($AI54,阻害要因×在院期間区分＿寛解・院内寛解[[#All],[値]],0),MATCH($AO$4,阻害要因×在院期間区分＿寛解・院内寛解[#Headers],0)),0)+IFERROR(INDEX(阻害要因×在院期間区分＿寛解・院内寛解[#All],MATCH($AI54,阻害要因×在院期間区分＿寛解・院内寛解[[#All],[値]],0),MATCH($AP$4,阻害要因×在院期間区分＿寛解・院内寛解[#Headers],0)),0)+IFERROR(INDEX(阻害要因×在院期間区分＿寛解・院内寛解[#All],MATCH($AI54,阻害要因×在院期間区分＿寛解・院内寛解[[#All],[値]],0),MATCH($AQ$4,阻害要因×在院期間区分＿寛解・院内寛解[#Headers],0)),0)+IFERROR(INDEX(阻害要因×在院期間区分＿寛解・院内寛解[#All],MATCH($AI54,阻害要因×在院期間区分＿寛解・院内寛解[[#All],[値]],0),MATCH($AR$4,阻害要因×在院期間区分＿寛解・院内寛解[#Headers],0)),0)</f>
        <v>43</v>
      </c>
      <c r="F53" s="72">
        <f t="shared" si="13"/>
        <v>0.2792207792207792</v>
      </c>
      <c r="G53" s="69">
        <f>IFERROR(INDEX(阻害要因×在院期間区分＿寛解・院内寛解[#All],MATCH($AI54,阻害要因×在院期間区分＿寛解・院内寛解[[#All],[値]],0),MATCH($AS$4,阻害要因×在院期間区分＿寛解・院内寛解[#Headers],0)),0)+IFERROR(INDEX(阻害要因×在院期間区分＿寛解・院内寛解[#All],MATCH($AI54,阻害要因×在院期間区分＿寛解・院内寛解[[#All],[値]],0),MATCH($AT$4,阻害要因×在院期間区分＿寛解・院内寛解[#Headers],0)),0)+IFERROR(INDEX(阻害要因×在院期間区分＿寛解・院内寛解[#All],MATCH($AI54,阻害要因×在院期間区分＿寛解・院内寛解[[#All],[値]],0),MATCH($AU$4,阻害要因×在院期間区分＿寛解・院内寛解[#Headers],0)),0)+IFERROR(INDEX(阻害要因×在院期間区分＿寛解・院内寛解[#All],MATCH($AI54,阻害要因×在院期間区分＿寛解・院内寛解[[#All],[値]],0),MATCH($AV$4,阻害要因×在院期間区分＿寛解・院内寛解[#Headers],0)),0)+IFERROR(INDEX(阻害要因×在院期間区分＿寛解・院内寛解[#All],MATCH($AI54,阻害要因×在院期間区分＿寛解・院内寛解[[#All],[値]],0),MATCH($AW$4,阻害要因×在院期間区分＿寛解・院内寛解[#Headers],0)),0)</f>
        <v>26</v>
      </c>
      <c r="H53" s="72">
        <f t="shared" si="14"/>
        <v>0.41269841269841268</v>
      </c>
      <c r="I53" s="69">
        <f>IFERROR(INDEX(阻害要因×在院期間区分＿寛解・院内寛解[#All],MATCH($AI54,阻害要因×在院期間区分＿寛解・院内寛解[[#All],[値]],0),MATCH($AX$4,阻害要因×在院期間区分＿寛解・院内寛解[#Headers],0)),0)+IFERROR(INDEX(阻害要因×在院期間区分＿寛解・院内寛解[#All],MATCH($AI54,阻害要因×在院期間区分＿寛解・院内寛解[[#All],[値]],0),MATCH($AY$4,阻害要因×在院期間区分＿寛解・院内寛解[#Headers],0)),0)</f>
        <v>26</v>
      </c>
      <c r="J53" s="72">
        <f t="shared" si="15"/>
        <v>0.41269841269841268</v>
      </c>
      <c r="K53" s="38">
        <f t="shared" si="16"/>
        <v>129</v>
      </c>
      <c r="L53" s="55" t="s">
        <v>169</v>
      </c>
      <c r="M53" s="65">
        <v>1</v>
      </c>
      <c r="N53" s="65">
        <v>15</v>
      </c>
      <c r="O53" s="65">
        <v>4</v>
      </c>
      <c r="P53" s="65">
        <v>14</v>
      </c>
      <c r="Q53" s="65">
        <v>10</v>
      </c>
      <c r="R53" s="65">
        <v>8</v>
      </c>
      <c r="S53" s="65">
        <v>10</v>
      </c>
      <c r="T53" s="65">
        <v>10</v>
      </c>
      <c r="U53" s="65">
        <v>5</v>
      </c>
      <c r="V53" s="65">
        <v>13</v>
      </c>
      <c r="W53" s="65">
        <v>5</v>
      </c>
      <c r="X53" s="65">
        <v>7</v>
      </c>
      <c r="Y53" s="65">
        <v>0</v>
      </c>
      <c r="Z53" s="65">
        <v>1</v>
      </c>
      <c r="AA53" s="65">
        <v>20</v>
      </c>
      <c r="AB53" s="65">
        <v>6</v>
      </c>
      <c r="AI53" s="407" t="s">
        <v>168</v>
      </c>
    </row>
    <row r="54" spans="2:35" ht="18.75" customHeight="1" x14ac:dyDescent="0.15">
      <c r="B54" s="104" t="s">
        <v>42</v>
      </c>
      <c r="C54" s="111">
        <f>IFERROR(INDEX(阻害要因×在院期間区分＿寛解・院内寛解[#All],MATCH($AI55,阻害要因×在院期間区分＿寛解・院内寛解[[#All],[値]],0),MATCH($AJ$4,阻害要因×在院期間区分＿寛解・院内寛解[#Headers],0)),0)+IFERROR(INDEX(阻害要因×在院期間区分＿寛解・院内寛解[#All],MATCH($AI55,阻害要因×在院期間区分＿寛解・院内寛解[[#All],[値]],0),MATCH($AK$4,阻害要因×在院期間区分＿寛解・院内寛解[#Headers],0)),0)+IFERROR(INDEX(阻害要因×在院期間区分＿寛解・院内寛解[#All],MATCH($AI55,阻害要因×在院期間区分＿寛解・院内寛解[[#All],[値]],0),MATCH($AL$4,阻害要因×在院期間区分＿寛解・院内寛解[#Headers],0)),0)+IFERROR(INDEX(阻害要因×在院期間区分＿寛解・院内寛解[#All],MATCH($AI55,阻害要因×在院期間区分＿寛解・院内寛解[[#All],[値]],0),MATCH($AM$4,阻害要因×在院期間区分＿寛解・院内寛解[#Headers],0)),0)</f>
        <v>13</v>
      </c>
      <c r="D54" s="72">
        <f t="shared" si="12"/>
        <v>6.25E-2</v>
      </c>
      <c r="E54" s="71">
        <f>IFERROR(INDEX(阻害要因×在院期間区分＿寛解・院内寛解[#All],MATCH($AI55,阻害要因×在院期間区分＿寛解・院内寛解[[#All],[値]],0),MATCH($AN$4,阻害要因×在院期間区分＿寛解・院内寛解[#Headers],0)),0)+IFERROR(INDEX(阻害要因×在院期間区分＿寛解・院内寛解[#All],MATCH($AI55,阻害要因×在院期間区分＿寛解・院内寛解[[#All],[値]],0),MATCH($AO$4,阻害要因×在院期間区分＿寛解・院内寛解[#Headers],0)),0)+IFERROR(INDEX(阻害要因×在院期間区分＿寛解・院内寛解[#All],MATCH($AI55,阻害要因×在院期間区分＿寛解・院内寛解[[#All],[値]],0),MATCH($AP$4,阻害要因×在院期間区分＿寛解・院内寛解[#Headers],0)),0)+IFERROR(INDEX(阻害要因×在院期間区分＿寛解・院内寛解[#All],MATCH($AI55,阻害要因×在院期間区分＿寛解・院内寛解[[#All],[値]],0),MATCH($AQ$4,阻害要因×在院期間区分＿寛解・院内寛解[#Headers],0)),0)+IFERROR(INDEX(阻害要因×在院期間区分＿寛解・院内寛解[#All],MATCH($AI55,阻害要因×在院期間区分＿寛解・院内寛解[[#All],[値]],0),MATCH($AR$4,阻害要因×在院期間区分＿寛解・院内寛解[#Headers],0)),0)</f>
        <v>14</v>
      </c>
      <c r="F54" s="72">
        <f t="shared" si="13"/>
        <v>9.0909090909090912E-2</v>
      </c>
      <c r="G54" s="71">
        <f>IFERROR(INDEX(阻害要因×在院期間区分＿寛解・院内寛解[#All],MATCH($AI55,阻害要因×在院期間区分＿寛解・院内寛解[[#All],[値]],0),MATCH($AS$4,阻害要因×在院期間区分＿寛解・院内寛解[#Headers],0)),0)+IFERROR(INDEX(阻害要因×在院期間区分＿寛解・院内寛解[#All],MATCH($AI55,阻害要因×在院期間区分＿寛解・院内寛解[[#All],[値]],0),MATCH($AT$4,阻害要因×在院期間区分＿寛解・院内寛解[#Headers],0)),0)+IFERROR(INDEX(阻害要因×在院期間区分＿寛解・院内寛解[#All],MATCH($AI55,阻害要因×在院期間区分＿寛解・院内寛解[[#All],[値]],0),MATCH($AU$4,阻害要因×在院期間区分＿寛解・院内寛解[#Headers],0)),0)+IFERROR(INDEX(阻害要因×在院期間区分＿寛解・院内寛解[#All],MATCH($AI55,阻害要因×在院期間区分＿寛解・院内寛解[[#All],[値]],0),MATCH($AV$4,阻害要因×在院期間区分＿寛解・院内寛解[#Headers],0)),0)+IFERROR(INDEX(阻害要因×在院期間区分＿寛解・院内寛解[#All],MATCH($AI55,阻害要因×在院期間区分＿寛解・院内寛解[[#All],[値]],0),MATCH($AW$4,阻害要因×在院期間区分＿寛解・院内寛解[#Headers],0)),0)</f>
        <v>6</v>
      </c>
      <c r="H54" s="72">
        <f t="shared" si="14"/>
        <v>9.5238095238095233E-2</v>
      </c>
      <c r="I54" s="71">
        <f>IFERROR(INDEX(阻害要因×在院期間区分＿寛解・院内寛解[#All],MATCH($AI55,阻害要因×在院期間区分＿寛解・院内寛解[[#All],[値]],0),MATCH($AX$4,阻害要因×在院期間区分＿寛解・院内寛解[#Headers],0)),0)+IFERROR(INDEX(阻害要因×在院期間区分＿寛解・院内寛解[#All],MATCH($AI55,阻害要因×在院期間区分＿寛解・院内寛解[[#All],[値]],0),MATCH($AY$4,阻害要因×在院期間区分＿寛解・院内寛解[#Headers],0)),0)</f>
        <v>5</v>
      </c>
      <c r="J54" s="72">
        <f t="shared" si="15"/>
        <v>7.9365079365079361E-2</v>
      </c>
      <c r="K54" s="38">
        <f t="shared" si="16"/>
        <v>38</v>
      </c>
      <c r="L54" s="55" t="s">
        <v>170</v>
      </c>
      <c r="M54" s="65">
        <v>2</v>
      </c>
      <c r="N54" s="65">
        <v>3</v>
      </c>
      <c r="O54" s="65">
        <v>3</v>
      </c>
      <c r="P54" s="65">
        <v>5</v>
      </c>
      <c r="Q54" s="65">
        <v>3</v>
      </c>
      <c r="R54" s="65">
        <v>3</v>
      </c>
      <c r="S54" s="65">
        <v>0</v>
      </c>
      <c r="T54" s="65">
        <v>6</v>
      </c>
      <c r="U54" s="65">
        <v>2</v>
      </c>
      <c r="V54" s="65">
        <v>1</v>
      </c>
      <c r="W54" s="65">
        <v>3</v>
      </c>
      <c r="X54" s="65">
        <v>1</v>
      </c>
      <c r="Y54" s="65">
        <v>1</v>
      </c>
      <c r="Z54" s="65">
        <v>0</v>
      </c>
      <c r="AA54" s="65">
        <v>3</v>
      </c>
      <c r="AB54" s="65">
        <v>2</v>
      </c>
      <c r="AI54" s="407" t="s">
        <v>169</v>
      </c>
    </row>
    <row r="55" spans="2:35" ht="18.75" customHeight="1" x14ac:dyDescent="0.15">
      <c r="B55" s="104" t="s">
        <v>43</v>
      </c>
      <c r="C55" s="119">
        <f>IFERROR(INDEX(阻害要因×在院期間区分＿寛解・院内寛解[#All],MATCH($AI56,阻害要因×在院期間区分＿寛解・院内寛解[[#All],[値]],0),MATCH($AJ$4,阻害要因×在院期間区分＿寛解・院内寛解[#Headers],0)),0)+IFERROR(INDEX(阻害要因×在院期間区分＿寛解・院内寛解[#All],MATCH($AI56,阻害要因×在院期間区分＿寛解・院内寛解[[#All],[値]],0),MATCH($AK$4,阻害要因×在院期間区分＿寛解・院内寛解[#Headers],0)),0)+IFERROR(INDEX(阻害要因×在院期間区分＿寛解・院内寛解[#All],MATCH($AI56,阻害要因×在院期間区分＿寛解・院内寛解[[#All],[値]],0),MATCH($AL$4,阻害要因×在院期間区分＿寛解・院内寛解[#Headers],0)),0)+IFERROR(INDEX(阻害要因×在院期間区分＿寛解・院内寛解[#All],MATCH($AI56,阻害要因×在院期間区分＿寛解・院内寛解[[#All],[値]],0),MATCH($AM$4,阻害要因×在院期間区分＿寛解・院内寛解[#Headers],0)),0)</f>
        <v>55</v>
      </c>
      <c r="D55" s="72">
        <f t="shared" si="12"/>
        <v>0.26442307692307693</v>
      </c>
      <c r="E55" s="70">
        <f>IFERROR(INDEX(阻害要因×在院期間区分＿寛解・院内寛解[#All],MATCH($AI56,阻害要因×在院期間区分＿寛解・院内寛解[[#All],[値]],0),MATCH($AN$4,阻害要因×在院期間区分＿寛解・院内寛解[#Headers],0)),0)+IFERROR(INDEX(阻害要因×在院期間区分＿寛解・院内寛解[#All],MATCH($AI56,阻害要因×在院期間区分＿寛解・院内寛解[[#All],[値]],0),MATCH($AO$4,阻害要因×在院期間区分＿寛解・院内寛解[#Headers],0)),0)+IFERROR(INDEX(阻害要因×在院期間区分＿寛解・院内寛解[#All],MATCH($AI56,阻害要因×在院期間区分＿寛解・院内寛解[[#All],[値]],0),MATCH($AP$4,阻害要因×在院期間区分＿寛解・院内寛解[#Headers],0)),0)+IFERROR(INDEX(阻害要因×在院期間区分＿寛解・院内寛解[#All],MATCH($AI56,阻害要因×在院期間区分＿寛解・院内寛解[[#All],[値]],0),MATCH($AQ$4,阻害要因×在院期間区分＿寛解・院内寛解[#Headers],0)),0)+IFERROR(INDEX(阻害要因×在院期間区分＿寛解・院内寛解[#All],MATCH($AI56,阻害要因×在院期間区分＿寛解・院内寛解[[#All],[値]],0),MATCH($AR$4,阻害要因×在院期間区分＿寛解・院内寛解[#Headers],0)),0)</f>
        <v>36</v>
      </c>
      <c r="F55" s="72">
        <f t="shared" si="13"/>
        <v>0.23376623376623376</v>
      </c>
      <c r="G55" s="70">
        <f>IFERROR(INDEX(阻害要因×在院期間区分＿寛解・院内寛解[#All],MATCH($AI56,阻害要因×在院期間区分＿寛解・院内寛解[[#All],[値]],0),MATCH($AS$4,阻害要因×在院期間区分＿寛解・院内寛解[#Headers],0)),0)+IFERROR(INDEX(阻害要因×在院期間区分＿寛解・院内寛解[#All],MATCH($AI56,阻害要因×在院期間区分＿寛解・院内寛解[[#All],[値]],0),MATCH($AT$4,阻害要因×在院期間区分＿寛解・院内寛解[#Headers],0)),0)+IFERROR(INDEX(阻害要因×在院期間区分＿寛解・院内寛解[#All],MATCH($AI56,阻害要因×在院期間区分＿寛解・院内寛解[[#All],[値]],0),MATCH($AU$4,阻害要因×在院期間区分＿寛解・院内寛解[#Headers],0)),0)+IFERROR(INDEX(阻害要因×在院期間区分＿寛解・院内寛解[#All],MATCH($AI56,阻害要因×在院期間区分＿寛解・院内寛解[[#All],[値]],0),MATCH($AV$4,阻害要因×在院期間区分＿寛解・院内寛解[#Headers],0)),0)+IFERROR(INDEX(阻害要因×在院期間区分＿寛解・院内寛解[#All],MATCH($AI56,阻害要因×在院期間区分＿寛解・院内寛解[[#All],[値]],0),MATCH($AW$4,阻害要因×在院期間区分＿寛解・院内寛解[#Headers],0)),0)</f>
        <v>22</v>
      </c>
      <c r="H55" s="72">
        <f t="shared" si="14"/>
        <v>0.34920634920634919</v>
      </c>
      <c r="I55" s="70">
        <f>IFERROR(INDEX(阻害要因×在院期間区分＿寛解・院内寛解[#All],MATCH($AI56,阻害要因×在院期間区分＿寛解・院内寛解[[#All],[値]],0),MATCH($AX$4,阻害要因×在院期間区分＿寛解・院内寛解[#Headers],0)),0)+IFERROR(INDEX(阻害要因×在院期間区分＿寛解・院内寛解[#All],MATCH($AI56,阻害要因×在院期間区分＿寛解・院内寛解[[#All],[値]],0),MATCH($AY$4,阻害要因×在院期間区分＿寛解・院内寛解[#Headers],0)),0)</f>
        <v>15</v>
      </c>
      <c r="J55" s="72">
        <f t="shared" si="15"/>
        <v>0.23809523809523808</v>
      </c>
      <c r="K55" s="38">
        <f t="shared" si="16"/>
        <v>128</v>
      </c>
      <c r="L55" s="55" t="s">
        <v>171</v>
      </c>
      <c r="M55" s="65">
        <v>4</v>
      </c>
      <c r="N55" s="65">
        <v>22</v>
      </c>
      <c r="O55" s="65">
        <v>11</v>
      </c>
      <c r="P55" s="65">
        <v>18</v>
      </c>
      <c r="Q55" s="65">
        <v>9</v>
      </c>
      <c r="R55" s="65">
        <v>3</v>
      </c>
      <c r="S55" s="65">
        <v>10</v>
      </c>
      <c r="T55" s="65">
        <v>9</v>
      </c>
      <c r="U55" s="65">
        <v>5</v>
      </c>
      <c r="V55" s="65">
        <v>9</v>
      </c>
      <c r="W55" s="65">
        <v>5</v>
      </c>
      <c r="X55" s="65">
        <v>6</v>
      </c>
      <c r="Y55" s="65">
        <v>1</v>
      </c>
      <c r="Z55" s="65">
        <v>1</v>
      </c>
      <c r="AA55" s="65">
        <v>12</v>
      </c>
      <c r="AB55" s="65">
        <v>3</v>
      </c>
      <c r="AI55" s="407" t="s">
        <v>170</v>
      </c>
    </row>
    <row r="56" spans="2:35" ht="18.75" customHeight="1" x14ac:dyDescent="0.15">
      <c r="B56" s="104" t="s">
        <v>44</v>
      </c>
      <c r="C56" s="113">
        <f>IFERROR(INDEX(阻害要因×在院期間区分＿寛解・院内寛解[#All],MATCH($AI57,阻害要因×在院期間区分＿寛解・院内寛解[[#All],[値]],0),MATCH($AJ$4,阻害要因×在院期間区分＿寛解・院内寛解[#Headers],0)),0)+IFERROR(INDEX(阻害要因×在院期間区分＿寛解・院内寛解[#All],MATCH($AI57,阻害要因×在院期間区分＿寛解・院内寛解[[#All],[値]],0),MATCH($AK$4,阻害要因×在院期間区分＿寛解・院内寛解[#Headers],0)),0)+IFERROR(INDEX(阻害要因×在院期間区分＿寛解・院内寛解[#All],MATCH($AI57,阻害要因×在院期間区分＿寛解・院内寛解[[#All],[値]],0),MATCH($AL$4,阻害要因×在院期間区分＿寛解・院内寛解[#Headers],0)),0)+IFERROR(INDEX(阻害要因×在院期間区分＿寛解・院内寛解[#All],MATCH($AI57,阻害要因×在院期間区分＿寛解・院内寛解[[#All],[値]],0),MATCH($AM$4,阻害要因×在院期間区分＿寛解・院内寛解[#Headers],0)),0)</f>
        <v>22</v>
      </c>
      <c r="D56" s="72">
        <f t="shared" si="12"/>
        <v>0.10576923076923077</v>
      </c>
      <c r="E56" s="67">
        <f>IFERROR(INDEX(阻害要因×在院期間区分＿寛解・院内寛解[#All],MATCH($AI57,阻害要因×在院期間区分＿寛解・院内寛解[[#All],[値]],0),MATCH($AN$4,阻害要因×在院期間区分＿寛解・院内寛解[#Headers],0)),0)+IFERROR(INDEX(阻害要因×在院期間区分＿寛解・院内寛解[#All],MATCH($AI57,阻害要因×在院期間区分＿寛解・院内寛解[[#All],[値]],0),MATCH($AO$4,阻害要因×在院期間区分＿寛解・院内寛解[#Headers],0)),0)+IFERROR(INDEX(阻害要因×在院期間区分＿寛解・院内寛解[#All],MATCH($AI57,阻害要因×在院期間区分＿寛解・院内寛解[[#All],[値]],0),MATCH($AP$4,阻害要因×在院期間区分＿寛解・院内寛解[#Headers],0)),0)+IFERROR(INDEX(阻害要因×在院期間区分＿寛解・院内寛解[#All],MATCH($AI57,阻害要因×在院期間区分＿寛解・院内寛解[[#All],[値]],0),MATCH($AQ$4,阻害要因×在院期間区分＿寛解・院内寛解[#Headers],0)),0)+IFERROR(INDEX(阻害要因×在院期間区分＿寛解・院内寛解[#All],MATCH($AI57,阻害要因×在院期間区分＿寛解・院内寛解[[#All],[値]],0),MATCH($AR$4,阻害要因×在院期間区分＿寛解・院内寛解[#Headers],0)),0)</f>
        <v>30</v>
      </c>
      <c r="F56" s="72">
        <f t="shared" si="13"/>
        <v>0.19480519480519481</v>
      </c>
      <c r="G56" s="67">
        <f>IFERROR(INDEX(阻害要因×在院期間区分＿寛解・院内寛解[#All],MATCH($AI57,阻害要因×在院期間区分＿寛解・院内寛解[[#All],[値]],0),MATCH($AS$4,阻害要因×在院期間区分＿寛解・院内寛解[#Headers],0)),0)+IFERROR(INDEX(阻害要因×在院期間区分＿寛解・院内寛解[#All],MATCH($AI57,阻害要因×在院期間区分＿寛解・院内寛解[[#All],[値]],0),MATCH($AT$4,阻害要因×在院期間区分＿寛解・院内寛解[#Headers],0)),0)+IFERROR(INDEX(阻害要因×在院期間区分＿寛解・院内寛解[#All],MATCH($AI57,阻害要因×在院期間区分＿寛解・院内寛解[[#All],[値]],0),MATCH($AU$4,阻害要因×在院期間区分＿寛解・院内寛解[#Headers],0)),0)+IFERROR(INDEX(阻害要因×在院期間区分＿寛解・院内寛解[#All],MATCH($AI57,阻害要因×在院期間区分＿寛解・院内寛解[[#All],[値]],0),MATCH($AV$4,阻害要因×在院期間区分＿寛解・院内寛解[#Headers],0)),0)+IFERROR(INDEX(阻害要因×在院期間区分＿寛解・院内寛解[#All],MATCH($AI57,阻害要因×在院期間区分＿寛解・院内寛解[[#All],[値]],0),MATCH($AW$4,阻害要因×在院期間区分＿寛解・院内寛解[#Headers],0)),0)</f>
        <v>10</v>
      </c>
      <c r="H56" s="72">
        <f t="shared" si="14"/>
        <v>0.15873015873015872</v>
      </c>
      <c r="I56" s="67">
        <f>IFERROR(INDEX(阻害要因×在院期間区分＿寛解・院内寛解[#All],MATCH($AI57,阻害要因×在院期間区分＿寛解・院内寛解[[#All],[値]],0),MATCH($AX$4,阻害要因×在院期間区分＿寛解・院内寛解[#Headers],0)),0)+IFERROR(INDEX(阻害要因×在院期間区分＿寛解・院内寛解[#All],MATCH($AI57,阻害要因×在院期間区分＿寛解・院内寛解[[#All],[値]],0),MATCH($AY$4,阻害要因×在院期間区分＿寛解・院内寛解[#Headers],0)),0)</f>
        <v>9</v>
      </c>
      <c r="J56" s="72">
        <f t="shared" si="15"/>
        <v>0.14285714285714285</v>
      </c>
      <c r="K56" s="38">
        <f t="shared" si="16"/>
        <v>71</v>
      </c>
      <c r="L56" s="55" t="s">
        <v>172</v>
      </c>
      <c r="M56" s="65">
        <v>3</v>
      </c>
      <c r="N56" s="65">
        <v>6</v>
      </c>
      <c r="O56" s="65">
        <v>2</v>
      </c>
      <c r="P56" s="65">
        <v>11</v>
      </c>
      <c r="Q56" s="65">
        <v>6</v>
      </c>
      <c r="R56" s="65">
        <v>6</v>
      </c>
      <c r="S56" s="65">
        <v>9</v>
      </c>
      <c r="T56" s="65">
        <v>7</v>
      </c>
      <c r="U56" s="65">
        <v>2</v>
      </c>
      <c r="V56" s="65">
        <v>2</v>
      </c>
      <c r="W56" s="65">
        <v>4</v>
      </c>
      <c r="X56" s="65">
        <v>1</v>
      </c>
      <c r="Y56" s="65">
        <v>2</v>
      </c>
      <c r="Z56" s="65">
        <v>1</v>
      </c>
      <c r="AA56" s="65">
        <v>7</v>
      </c>
      <c r="AB56" s="65">
        <v>2</v>
      </c>
      <c r="AI56" s="407" t="s">
        <v>171</v>
      </c>
    </row>
    <row r="57" spans="2:35" ht="18.75" customHeight="1" x14ac:dyDescent="0.15">
      <c r="B57" s="104" t="s">
        <v>246</v>
      </c>
      <c r="C57" s="111">
        <f>IFERROR(INDEX(阻害要因×在院期間区分＿寛解・院内寛解[#All],MATCH($AI58,阻害要因×在院期間区分＿寛解・院内寛解[[#All],[値]],0),MATCH($AJ$4,阻害要因×在院期間区分＿寛解・院内寛解[#Headers],0)),0)+IFERROR(INDEX(阻害要因×在院期間区分＿寛解・院内寛解[#All],MATCH($AI58,阻害要因×在院期間区分＿寛解・院内寛解[[#All],[値]],0),MATCH($AK$4,阻害要因×在院期間区分＿寛解・院内寛解[#Headers],0)),0)+IFERROR(INDEX(阻害要因×在院期間区分＿寛解・院内寛解[#All],MATCH($AI58,阻害要因×在院期間区分＿寛解・院内寛解[[#All],[値]],0),MATCH($AL$4,阻害要因×在院期間区分＿寛解・院内寛解[#Headers],0)),0)+IFERROR(INDEX(阻害要因×在院期間区分＿寛解・院内寛解[#All],MATCH($AI58,阻害要因×在院期間区分＿寛解・院内寛解[[#All],[値]],0),MATCH($AM$4,阻害要因×在院期間区分＿寛解・院内寛解[#Headers],0)),0)</f>
        <v>38</v>
      </c>
      <c r="D57" s="72">
        <f t="shared" si="12"/>
        <v>0.18269230769230768</v>
      </c>
      <c r="E57" s="69">
        <f>IFERROR(INDEX(阻害要因×在院期間区分＿寛解・院内寛解[#All],MATCH($AI58,阻害要因×在院期間区分＿寛解・院内寛解[[#All],[値]],0),MATCH($AN$4,阻害要因×在院期間区分＿寛解・院内寛解[#Headers],0)),0)+IFERROR(INDEX(阻害要因×在院期間区分＿寛解・院内寛解[#All],MATCH($AI58,阻害要因×在院期間区分＿寛解・院内寛解[[#All],[値]],0),MATCH($AO$4,阻害要因×在院期間区分＿寛解・院内寛解[#Headers],0)),0)+IFERROR(INDEX(阻害要因×在院期間区分＿寛解・院内寛解[#All],MATCH($AI58,阻害要因×在院期間区分＿寛解・院内寛解[[#All],[値]],0),MATCH($AP$4,阻害要因×在院期間区分＿寛解・院内寛解[#Headers],0)),0)+IFERROR(INDEX(阻害要因×在院期間区分＿寛解・院内寛解[#All],MATCH($AI58,阻害要因×在院期間区分＿寛解・院内寛解[[#All],[値]],0),MATCH($AQ$4,阻害要因×在院期間区分＿寛解・院内寛解[#Headers],0)),0)+IFERROR(INDEX(阻害要因×在院期間区分＿寛解・院内寛解[#All],MATCH($AI58,阻害要因×在院期間区分＿寛解・院内寛解[[#All],[値]],0),MATCH($AR$4,阻害要因×在院期間区分＿寛解・院内寛解[#Headers],0)),0)</f>
        <v>34</v>
      </c>
      <c r="F57" s="72">
        <f t="shared" si="13"/>
        <v>0.22077922077922077</v>
      </c>
      <c r="G57" s="69">
        <f>IFERROR(INDEX(阻害要因×在院期間区分＿寛解・院内寛解[#All],MATCH($AI58,阻害要因×在院期間区分＿寛解・院内寛解[[#All],[値]],0),MATCH($AS$4,阻害要因×在院期間区分＿寛解・院内寛解[#Headers],0)),0)+IFERROR(INDEX(阻害要因×在院期間区分＿寛解・院内寛解[#All],MATCH($AI58,阻害要因×在院期間区分＿寛解・院内寛解[[#All],[値]],0),MATCH($AT$4,阻害要因×在院期間区分＿寛解・院内寛解[#Headers],0)),0)+IFERROR(INDEX(阻害要因×在院期間区分＿寛解・院内寛解[#All],MATCH($AI58,阻害要因×在院期間区分＿寛解・院内寛解[[#All],[値]],0),MATCH($AU$4,阻害要因×在院期間区分＿寛解・院内寛解[#Headers],0)),0)+IFERROR(INDEX(阻害要因×在院期間区分＿寛解・院内寛解[#All],MATCH($AI58,阻害要因×在院期間区分＿寛解・院内寛解[[#All],[値]],0),MATCH($AV$4,阻害要因×在院期間区分＿寛解・院内寛解[#Headers],0)),0)+IFERROR(INDEX(阻害要因×在院期間区分＿寛解・院内寛解[#All],MATCH($AI58,阻害要因×在院期間区分＿寛解・院内寛解[[#All],[値]],0),MATCH($AW$4,阻害要因×在院期間区分＿寛解・院内寛解[#Headers],0)),0)</f>
        <v>25</v>
      </c>
      <c r="H57" s="72">
        <f t="shared" si="14"/>
        <v>0.3968253968253968</v>
      </c>
      <c r="I57" s="69">
        <f>IFERROR(INDEX(阻害要因×在院期間区分＿寛解・院内寛解[#All],MATCH($AI58,阻害要因×在院期間区分＿寛解・院内寛解[[#All],[値]],0),MATCH($AX$4,阻害要因×在院期間区分＿寛解・院内寛解[#Headers],0)),0)+IFERROR(INDEX(阻害要因×在院期間区分＿寛解・院内寛解[#All],MATCH($AI58,阻害要因×在院期間区分＿寛解・院内寛解[[#All],[値]],0),MATCH($AY$4,阻害要因×在院期間区分＿寛解・院内寛解[#Headers],0)),0)</f>
        <v>21</v>
      </c>
      <c r="J57" s="72">
        <f t="shared" si="15"/>
        <v>0.33333333333333331</v>
      </c>
      <c r="K57" s="38">
        <f t="shared" si="16"/>
        <v>118</v>
      </c>
      <c r="L57" s="55" t="s">
        <v>173</v>
      </c>
      <c r="M57" s="65">
        <v>7</v>
      </c>
      <c r="N57" s="65">
        <v>10</v>
      </c>
      <c r="O57" s="65">
        <v>7</v>
      </c>
      <c r="P57" s="65">
        <v>14</v>
      </c>
      <c r="Q57" s="65">
        <v>6</v>
      </c>
      <c r="R57" s="65">
        <v>5</v>
      </c>
      <c r="S57" s="65">
        <v>8</v>
      </c>
      <c r="T57" s="65">
        <v>12</v>
      </c>
      <c r="U57" s="65">
        <v>3</v>
      </c>
      <c r="V57" s="65">
        <v>7</v>
      </c>
      <c r="W57" s="65">
        <v>5</v>
      </c>
      <c r="X57" s="65">
        <v>8</v>
      </c>
      <c r="Y57" s="65">
        <v>4</v>
      </c>
      <c r="Z57" s="65">
        <v>1</v>
      </c>
      <c r="AA57" s="65">
        <v>13</v>
      </c>
      <c r="AB57" s="65">
        <v>8</v>
      </c>
      <c r="AI57" s="407" t="s">
        <v>172</v>
      </c>
    </row>
    <row r="58" spans="2:35" ht="18.75" customHeight="1" x14ac:dyDescent="0.15">
      <c r="B58" s="104" t="s">
        <v>46</v>
      </c>
      <c r="C58" s="111">
        <f>IFERROR(INDEX(阻害要因×在院期間区分＿寛解・院内寛解[#All],MATCH($AI59,阻害要因×在院期間区分＿寛解・院内寛解[[#All],[値]],0),MATCH($AJ$4,阻害要因×在院期間区分＿寛解・院内寛解[#Headers],0)),0)+IFERROR(INDEX(阻害要因×在院期間区分＿寛解・院内寛解[#All],MATCH($AI59,阻害要因×在院期間区分＿寛解・院内寛解[[#All],[値]],0),MATCH($AK$4,阻害要因×在院期間区分＿寛解・院内寛解[#Headers],0)),0)+IFERROR(INDEX(阻害要因×在院期間区分＿寛解・院内寛解[#All],MATCH($AI59,阻害要因×在院期間区分＿寛解・院内寛解[[#All],[値]],0),MATCH($AL$4,阻害要因×在院期間区分＿寛解・院内寛解[#Headers],0)),0)+IFERROR(INDEX(阻害要因×在院期間区分＿寛解・院内寛解[#All],MATCH($AI59,阻害要因×在院期間区分＿寛解・院内寛解[[#All],[値]],0),MATCH($AM$4,阻害要因×在院期間区分＿寛解・院内寛解[#Headers],0)),0)</f>
        <v>76</v>
      </c>
      <c r="D58" s="72">
        <f t="shared" si="12"/>
        <v>0.36538461538461536</v>
      </c>
      <c r="E58" s="69">
        <f>IFERROR(INDEX(阻害要因×在院期間区分＿寛解・院内寛解[#All],MATCH($AI59,阻害要因×在院期間区分＿寛解・院内寛解[[#All],[値]],0),MATCH($AN$4,阻害要因×在院期間区分＿寛解・院内寛解[#Headers],0)),0)+IFERROR(INDEX(阻害要因×在院期間区分＿寛解・院内寛解[#All],MATCH($AI59,阻害要因×在院期間区分＿寛解・院内寛解[[#All],[値]],0),MATCH($AO$4,阻害要因×在院期間区分＿寛解・院内寛解[#Headers],0)),0)+IFERROR(INDEX(阻害要因×在院期間区分＿寛解・院内寛解[#All],MATCH($AI59,阻害要因×在院期間区分＿寛解・院内寛解[[#All],[値]],0),MATCH($AP$4,阻害要因×在院期間区分＿寛解・院内寛解[#Headers],0)),0)+IFERROR(INDEX(阻害要因×在院期間区分＿寛解・院内寛解[#All],MATCH($AI59,阻害要因×在院期間区分＿寛解・院内寛解[[#All],[値]],0),MATCH($AQ$4,阻害要因×在院期間区分＿寛解・院内寛解[#Headers],0)),0)+IFERROR(INDEX(阻害要因×在院期間区分＿寛解・院内寛解[#All],MATCH($AI59,阻害要因×在院期間区分＿寛解・院内寛解[[#All],[値]],0),MATCH($AR$4,阻害要因×在院期間区分＿寛解・院内寛解[#Headers],0)),0)</f>
        <v>44</v>
      </c>
      <c r="F58" s="72">
        <f t="shared" si="13"/>
        <v>0.2857142857142857</v>
      </c>
      <c r="G58" s="69">
        <f>IFERROR(INDEX(阻害要因×在院期間区分＿寛解・院内寛解[#All],MATCH($AI59,阻害要因×在院期間区分＿寛解・院内寛解[[#All],[値]],0),MATCH($AS$4,阻害要因×在院期間区分＿寛解・院内寛解[#Headers],0)),0)+IFERROR(INDEX(阻害要因×在院期間区分＿寛解・院内寛解[#All],MATCH($AI59,阻害要因×在院期間区分＿寛解・院内寛解[[#All],[値]],0),MATCH($AT$4,阻害要因×在院期間区分＿寛解・院内寛解[#Headers],0)),0)+IFERROR(INDEX(阻害要因×在院期間区分＿寛解・院内寛解[#All],MATCH($AI59,阻害要因×在院期間区分＿寛解・院内寛解[[#All],[値]],0),MATCH($AU$4,阻害要因×在院期間区分＿寛解・院内寛解[#Headers],0)),0)+IFERROR(INDEX(阻害要因×在院期間区分＿寛解・院内寛解[#All],MATCH($AI59,阻害要因×在院期間区分＿寛解・院内寛解[[#All],[値]],0),MATCH($AV$4,阻害要因×在院期間区分＿寛解・院内寛解[#Headers],0)),0)+IFERROR(INDEX(阻害要因×在院期間区分＿寛解・院内寛解[#All],MATCH($AI59,阻害要因×在院期間区分＿寛解・院内寛解[[#All],[値]],0),MATCH($AW$4,阻害要因×在院期間区分＿寛解・院内寛解[#Headers],0)),0)</f>
        <v>14</v>
      </c>
      <c r="H58" s="72">
        <f t="shared" si="14"/>
        <v>0.22222222222222221</v>
      </c>
      <c r="I58" s="69">
        <f>IFERROR(INDEX(阻害要因×在院期間区分＿寛解・院内寛解[#All],MATCH($AI59,阻害要因×在院期間区分＿寛解・院内寛解[[#All],[値]],0),MATCH($AX$4,阻害要因×在院期間区分＿寛解・院内寛解[#Headers],0)),0)+IFERROR(INDEX(阻害要因×在院期間区分＿寛解・院内寛解[#All],MATCH($AI59,阻害要因×在院期間区分＿寛解・院内寛解[[#All],[値]],0),MATCH($AY$4,阻害要因×在院期間区分＿寛解・院内寛解[#Headers],0)),0)</f>
        <v>12</v>
      </c>
      <c r="J58" s="72">
        <f t="shared" si="15"/>
        <v>0.19047619047619047</v>
      </c>
      <c r="K58" s="38">
        <f t="shared" si="16"/>
        <v>146</v>
      </c>
      <c r="L58" s="55" t="s">
        <v>174</v>
      </c>
      <c r="M58" s="65">
        <v>8</v>
      </c>
      <c r="N58" s="65">
        <v>28</v>
      </c>
      <c r="O58" s="65">
        <v>15</v>
      </c>
      <c r="P58" s="65">
        <v>25</v>
      </c>
      <c r="Q58" s="65">
        <v>9</v>
      </c>
      <c r="R58" s="65">
        <v>6</v>
      </c>
      <c r="S58" s="65">
        <v>12</v>
      </c>
      <c r="T58" s="65">
        <v>11</v>
      </c>
      <c r="U58" s="65">
        <v>6</v>
      </c>
      <c r="V58" s="65">
        <v>4</v>
      </c>
      <c r="W58" s="65">
        <v>4</v>
      </c>
      <c r="X58" s="65">
        <v>3</v>
      </c>
      <c r="Y58" s="65">
        <v>3</v>
      </c>
      <c r="Z58" s="65">
        <v>0</v>
      </c>
      <c r="AA58" s="65">
        <v>8</v>
      </c>
      <c r="AB58" s="65">
        <v>4</v>
      </c>
      <c r="AI58" s="407" t="s">
        <v>173</v>
      </c>
    </row>
    <row r="59" spans="2:35" ht="18.75" customHeight="1" x14ac:dyDescent="0.15">
      <c r="B59" s="104" t="s">
        <v>47</v>
      </c>
      <c r="C59" s="119">
        <f>IFERROR(INDEX(阻害要因×在院期間区分＿寛解・院内寛解[#All],MATCH($AI60,阻害要因×在院期間区分＿寛解・院内寛解[[#All],[値]],0),MATCH($AJ$4,阻害要因×在院期間区分＿寛解・院内寛解[#Headers],0)),0)+IFERROR(INDEX(阻害要因×在院期間区分＿寛解・院内寛解[#All],MATCH($AI60,阻害要因×在院期間区分＿寛解・院内寛解[[#All],[値]],0),MATCH($AK$4,阻害要因×在院期間区分＿寛解・院内寛解[#Headers],0)),0)+IFERROR(INDEX(阻害要因×在院期間区分＿寛解・院内寛解[#All],MATCH($AI60,阻害要因×在院期間区分＿寛解・院内寛解[[#All],[値]],0),MATCH($AL$4,阻害要因×在院期間区分＿寛解・院内寛解[#Headers],0)),0)+IFERROR(INDEX(阻害要因×在院期間区分＿寛解・院内寛解[#All],MATCH($AI60,阻害要因×在院期間区分＿寛解・院内寛解[[#All],[値]],0),MATCH($AM$4,阻害要因×在院期間区分＿寛解・院内寛解[#Headers],0)),0)</f>
        <v>6</v>
      </c>
      <c r="D59" s="72">
        <f t="shared" si="12"/>
        <v>2.8846153846153848E-2</v>
      </c>
      <c r="E59" s="70">
        <f>IFERROR(INDEX(阻害要因×在院期間区分＿寛解・院内寛解[#All],MATCH($AI60,阻害要因×在院期間区分＿寛解・院内寛解[[#All],[値]],0),MATCH($AN$4,阻害要因×在院期間区分＿寛解・院内寛解[#Headers],0)),0)+IFERROR(INDEX(阻害要因×在院期間区分＿寛解・院内寛解[#All],MATCH($AI60,阻害要因×在院期間区分＿寛解・院内寛解[[#All],[値]],0),MATCH($AO$4,阻害要因×在院期間区分＿寛解・院内寛解[#Headers],0)),0)+IFERROR(INDEX(阻害要因×在院期間区分＿寛解・院内寛解[#All],MATCH($AI60,阻害要因×在院期間区分＿寛解・院内寛解[[#All],[値]],0),MATCH($AP$4,阻害要因×在院期間区分＿寛解・院内寛解[#Headers],0)),0)+IFERROR(INDEX(阻害要因×在院期間区分＿寛解・院内寛解[#All],MATCH($AI60,阻害要因×在院期間区分＿寛解・院内寛解[[#All],[値]],0),MATCH($AQ$4,阻害要因×在院期間区分＿寛解・院内寛解[#Headers],0)),0)+IFERROR(INDEX(阻害要因×在院期間区分＿寛解・院内寛解[#All],MATCH($AI60,阻害要因×在院期間区分＿寛解・院内寛解[[#All],[値]],0),MATCH($AR$4,阻害要因×在院期間区分＿寛解・院内寛解[#Headers],0)),0)</f>
        <v>10</v>
      </c>
      <c r="F59" s="72">
        <f t="shared" si="13"/>
        <v>6.4935064935064929E-2</v>
      </c>
      <c r="G59" s="70">
        <f>IFERROR(INDEX(阻害要因×在院期間区分＿寛解・院内寛解[#All],MATCH($AI60,阻害要因×在院期間区分＿寛解・院内寛解[[#All],[値]],0),MATCH($AS$4,阻害要因×在院期間区分＿寛解・院内寛解[#Headers],0)),0)+IFERROR(INDEX(阻害要因×在院期間区分＿寛解・院内寛解[#All],MATCH($AI60,阻害要因×在院期間区分＿寛解・院内寛解[[#All],[値]],0),MATCH($AT$4,阻害要因×在院期間区分＿寛解・院内寛解[#Headers],0)),0)+IFERROR(INDEX(阻害要因×在院期間区分＿寛解・院内寛解[#All],MATCH($AI60,阻害要因×在院期間区分＿寛解・院内寛解[[#All],[値]],0),MATCH($AU$4,阻害要因×在院期間区分＿寛解・院内寛解[#Headers],0)),0)+IFERROR(INDEX(阻害要因×在院期間区分＿寛解・院内寛解[#All],MATCH($AI60,阻害要因×在院期間区分＿寛解・院内寛解[[#All],[値]],0),MATCH($AV$4,阻害要因×在院期間区分＿寛解・院内寛解[#Headers],0)),0)+IFERROR(INDEX(阻害要因×在院期間区分＿寛解・院内寛解[#All],MATCH($AI60,阻害要因×在院期間区分＿寛解・院内寛解[[#All],[値]],0),MATCH($AW$4,阻害要因×在院期間区分＿寛解・院内寛解[#Headers],0)),0)</f>
        <v>7</v>
      </c>
      <c r="H59" s="72">
        <f t="shared" si="14"/>
        <v>0.1111111111111111</v>
      </c>
      <c r="I59" s="70">
        <f>IFERROR(INDEX(阻害要因×在院期間区分＿寛解・院内寛解[#All],MATCH($AI60,阻害要因×在院期間区分＿寛解・院内寛解[[#All],[値]],0),MATCH($AX$4,阻害要因×在院期間区分＿寛解・院内寛解[#Headers],0)),0)+IFERROR(INDEX(阻害要因×在院期間区分＿寛解・院内寛解[#All],MATCH($AI60,阻害要因×在院期間区分＿寛解・院内寛解[[#All],[値]],0),MATCH($AY$4,阻害要因×在院期間区分＿寛解・院内寛解[#Headers],0)),0)</f>
        <v>2</v>
      </c>
      <c r="J59" s="72">
        <f t="shared" si="15"/>
        <v>3.1746031746031744E-2</v>
      </c>
      <c r="K59" s="38">
        <f t="shared" si="16"/>
        <v>25</v>
      </c>
      <c r="L59" s="55" t="s">
        <v>175</v>
      </c>
      <c r="M59" s="65">
        <v>0</v>
      </c>
      <c r="N59" s="65">
        <v>4</v>
      </c>
      <c r="O59" s="65">
        <v>1</v>
      </c>
      <c r="P59" s="65">
        <v>1</v>
      </c>
      <c r="Q59" s="65">
        <v>1</v>
      </c>
      <c r="R59" s="65">
        <v>1</v>
      </c>
      <c r="S59" s="65">
        <v>5</v>
      </c>
      <c r="T59" s="65">
        <v>1</v>
      </c>
      <c r="U59" s="65">
        <v>2</v>
      </c>
      <c r="V59" s="65">
        <v>3</v>
      </c>
      <c r="W59" s="65">
        <v>3</v>
      </c>
      <c r="X59" s="65">
        <v>0</v>
      </c>
      <c r="Y59" s="65">
        <v>1</v>
      </c>
      <c r="Z59" s="65">
        <v>0</v>
      </c>
      <c r="AA59" s="65">
        <v>1</v>
      </c>
      <c r="AB59" s="65">
        <v>1</v>
      </c>
      <c r="AI59" s="407" t="s">
        <v>174</v>
      </c>
    </row>
    <row r="60" spans="2:35" ht="18.75" customHeight="1" x14ac:dyDescent="0.15">
      <c r="B60" s="104" t="s">
        <v>48</v>
      </c>
      <c r="C60" s="111">
        <f>IFERROR(INDEX(阻害要因×在院期間区分＿寛解・院内寛解[#All],MATCH($AI61,阻害要因×在院期間区分＿寛解・院内寛解[[#All],[値]],0),MATCH($AJ$4,阻害要因×在院期間区分＿寛解・院内寛解[#Headers],0)),0)+IFERROR(INDEX(阻害要因×在院期間区分＿寛解・院内寛解[#All],MATCH($AI61,阻害要因×在院期間区分＿寛解・院内寛解[[#All],[値]],0),MATCH($AK$4,阻害要因×在院期間区分＿寛解・院内寛解[#Headers],0)),0)+IFERROR(INDEX(阻害要因×在院期間区分＿寛解・院内寛解[#All],MATCH($AI61,阻害要因×在院期間区分＿寛解・院内寛解[[#All],[値]],0),MATCH($AL$4,阻害要因×在院期間区分＿寛解・院内寛解[#Headers],0)),0)+IFERROR(INDEX(阻害要因×在院期間区分＿寛解・院内寛解[#All],MATCH($AI61,阻害要因×在院期間区分＿寛解・院内寛解[[#All],[値]],0),MATCH($AM$4,阻害要因×在院期間区分＿寛解・院内寛解[#Headers],0)),0)</f>
        <v>13</v>
      </c>
      <c r="D60" s="72">
        <f t="shared" si="12"/>
        <v>6.25E-2</v>
      </c>
      <c r="E60" s="69">
        <f>IFERROR(INDEX(阻害要因×在院期間区分＿寛解・院内寛解[#All],MATCH($AI61,阻害要因×在院期間区分＿寛解・院内寛解[[#All],[値]],0),MATCH($AN$4,阻害要因×在院期間区分＿寛解・院内寛解[#Headers],0)),0)+IFERROR(INDEX(阻害要因×在院期間区分＿寛解・院内寛解[#All],MATCH($AI61,阻害要因×在院期間区分＿寛解・院内寛解[[#All],[値]],0),MATCH($AO$4,阻害要因×在院期間区分＿寛解・院内寛解[#Headers],0)),0)+IFERROR(INDEX(阻害要因×在院期間区分＿寛解・院内寛解[#All],MATCH($AI61,阻害要因×在院期間区分＿寛解・院内寛解[[#All],[値]],0),MATCH($AP$4,阻害要因×在院期間区分＿寛解・院内寛解[#Headers],0)),0)+IFERROR(INDEX(阻害要因×在院期間区分＿寛解・院内寛解[#All],MATCH($AI61,阻害要因×在院期間区分＿寛解・院内寛解[[#All],[値]],0),MATCH($AQ$4,阻害要因×在院期間区分＿寛解・院内寛解[#Headers],0)),0)+IFERROR(INDEX(阻害要因×在院期間区分＿寛解・院内寛解[#All],MATCH($AI61,阻害要因×在院期間区分＿寛解・院内寛解[[#All],[値]],0),MATCH($AR$4,阻害要因×在院期間区分＿寛解・院内寛解[#Headers],0)),0)</f>
        <v>6</v>
      </c>
      <c r="F60" s="72">
        <f t="shared" si="13"/>
        <v>3.896103896103896E-2</v>
      </c>
      <c r="G60" s="69">
        <f>IFERROR(INDEX(阻害要因×在院期間区分＿寛解・院内寛解[#All],MATCH($AI61,阻害要因×在院期間区分＿寛解・院内寛解[[#All],[値]],0),MATCH($AS$4,阻害要因×在院期間区分＿寛解・院内寛解[#Headers],0)),0)+IFERROR(INDEX(阻害要因×在院期間区分＿寛解・院内寛解[#All],MATCH($AI61,阻害要因×在院期間区分＿寛解・院内寛解[[#All],[値]],0),MATCH($AT$4,阻害要因×在院期間区分＿寛解・院内寛解[#Headers],0)),0)+IFERROR(INDEX(阻害要因×在院期間区分＿寛解・院内寛解[#All],MATCH($AI61,阻害要因×在院期間区分＿寛解・院内寛解[[#All],[値]],0),MATCH($AU$4,阻害要因×在院期間区分＿寛解・院内寛解[#Headers],0)),0)+IFERROR(INDEX(阻害要因×在院期間区分＿寛解・院内寛解[#All],MATCH($AI61,阻害要因×在院期間区分＿寛解・院内寛解[[#All],[値]],0),MATCH($AV$4,阻害要因×在院期間区分＿寛解・院内寛解[#Headers],0)),0)+IFERROR(INDEX(阻害要因×在院期間区分＿寛解・院内寛解[#All],MATCH($AI61,阻害要因×在院期間区分＿寛解・院内寛解[[#All],[値]],0),MATCH($AW$4,阻害要因×在院期間区分＿寛解・院内寛解[#Headers],0)),0)</f>
        <v>3</v>
      </c>
      <c r="H60" s="72">
        <f t="shared" si="14"/>
        <v>4.7619047619047616E-2</v>
      </c>
      <c r="I60" s="69">
        <f>IFERROR(INDEX(阻害要因×在院期間区分＿寛解・院内寛解[#All],MATCH($AI61,阻害要因×在院期間区分＿寛解・院内寛解[[#All],[値]],0),MATCH($AX$4,阻害要因×在院期間区分＿寛解・院内寛解[#Headers],0)),0)+IFERROR(INDEX(阻害要因×在院期間区分＿寛解・院内寛解[#All],MATCH($AI61,阻害要因×在院期間区分＿寛解・院内寛解[[#All],[値]],0),MATCH($AY$4,阻害要因×在院期間区分＿寛解・院内寛解[#Headers],0)),0)</f>
        <v>1</v>
      </c>
      <c r="J60" s="72">
        <f t="shared" si="15"/>
        <v>1.5873015873015872E-2</v>
      </c>
      <c r="K60" s="38">
        <f t="shared" si="16"/>
        <v>23</v>
      </c>
      <c r="L60" s="55" t="s">
        <v>176</v>
      </c>
      <c r="M60" s="65">
        <v>1</v>
      </c>
      <c r="N60" s="65">
        <v>3</v>
      </c>
      <c r="O60" s="65">
        <v>1</v>
      </c>
      <c r="P60" s="65">
        <v>8</v>
      </c>
      <c r="Q60" s="65">
        <v>1</v>
      </c>
      <c r="R60" s="65">
        <v>0</v>
      </c>
      <c r="S60" s="65">
        <v>2</v>
      </c>
      <c r="T60" s="65">
        <v>3</v>
      </c>
      <c r="U60" s="65">
        <v>0</v>
      </c>
      <c r="V60" s="65">
        <v>1</v>
      </c>
      <c r="W60" s="65">
        <v>1</v>
      </c>
      <c r="X60" s="65">
        <v>1</v>
      </c>
      <c r="Y60" s="65">
        <v>0</v>
      </c>
      <c r="Z60" s="65">
        <v>0</v>
      </c>
      <c r="AA60" s="65">
        <v>1</v>
      </c>
      <c r="AB60" s="65">
        <v>0</v>
      </c>
      <c r="AI60" s="407" t="s">
        <v>175</v>
      </c>
    </row>
    <row r="61" spans="2:35" ht="18.75" customHeight="1" x14ac:dyDescent="0.15">
      <c r="B61" s="104" t="s">
        <v>49</v>
      </c>
      <c r="C61" s="119">
        <f>IFERROR(INDEX(阻害要因×在院期間区分＿寛解・院内寛解[#All],MATCH($AI62,阻害要因×在院期間区分＿寛解・院内寛解[[#All],[値]],0),MATCH($AJ$4,阻害要因×在院期間区分＿寛解・院内寛解[#Headers],0)),0)+IFERROR(INDEX(阻害要因×在院期間区分＿寛解・院内寛解[#All],MATCH($AI62,阻害要因×在院期間区分＿寛解・院内寛解[[#All],[値]],0),MATCH($AK$4,阻害要因×在院期間区分＿寛解・院内寛解[#Headers],0)),0)+IFERROR(INDEX(阻害要因×在院期間区分＿寛解・院内寛解[#All],MATCH($AI62,阻害要因×在院期間区分＿寛解・院内寛解[[#All],[値]],0),MATCH($AL$4,阻害要因×在院期間区分＿寛解・院内寛解[#Headers],0)),0)+IFERROR(INDEX(阻害要因×在院期間区分＿寛解・院内寛解[#All],MATCH($AI62,阻害要因×在院期間区分＿寛解・院内寛解[[#All],[値]],0),MATCH($AM$4,阻害要因×在院期間区分＿寛解・院内寛解[#Headers],0)),0)</f>
        <v>0</v>
      </c>
      <c r="D61" s="72">
        <f t="shared" si="12"/>
        <v>0</v>
      </c>
      <c r="E61" s="69">
        <f>IFERROR(INDEX(阻害要因×在院期間区分＿寛解・院内寛解[#All],MATCH($AI62,阻害要因×在院期間区分＿寛解・院内寛解[[#All],[値]],0),MATCH($AN$4,阻害要因×在院期間区分＿寛解・院内寛解[#Headers],0)),0)+IFERROR(INDEX(阻害要因×在院期間区分＿寛解・院内寛解[#All],MATCH($AI62,阻害要因×在院期間区分＿寛解・院内寛解[[#All],[値]],0),MATCH($AO$4,阻害要因×在院期間区分＿寛解・院内寛解[#Headers],0)),0)+IFERROR(INDEX(阻害要因×在院期間区分＿寛解・院内寛解[#All],MATCH($AI62,阻害要因×在院期間区分＿寛解・院内寛解[[#All],[値]],0),MATCH($AP$4,阻害要因×在院期間区分＿寛解・院内寛解[#Headers],0)),0)+IFERROR(INDEX(阻害要因×在院期間区分＿寛解・院内寛解[#All],MATCH($AI62,阻害要因×在院期間区分＿寛解・院内寛解[[#All],[値]],0),MATCH($AQ$4,阻害要因×在院期間区分＿寛解・院内寛解[#Headers],0)),0)+IFERROR(INDEX(阻害要因×在院期間区分＿寛解・院内寛解[#All],MATCH($AI62,阻害要因×在院期間区分＿寛解・院内寛解[[#All],[値]],0),MATCH($AR$4,阻害要因×在院期間区分＿寛解・院内寛解[#Headers],0)),0)</f>
        <v>1</v>
      </c>
      <c r="F61" s="72">
        <f t="shared" si="13"/>
        <v>6.4935064935064939E-3</v>
      </c>
      <c r="G61" s="69">
        <f>IFERROR(INDEX(阻害要因×在院期間区分＿寛解・院内寛解[#All],MATCH($AI62,阻害要因×在院期間区分＿寛解・院内寛解[[#All],[値]],0),MATCH($AS$4,阻害要因×在院期間区分＿寛解・院内寛解[#Headers],0)),0)+IFERROR(INDEX(阻害要因×在院期間区分＿寛解・院内寛解[#All],MATCH($AI62,阻害要因×在院期間区分＿寛解・院内寛解[[#All],[値]],0),MATCH($AT$4,阻害要因×在院期間区分＿寛解・院内寛解[#Headers],0)),0)+IFERROR(INDEX(阻害要因×在院期間区分＿寛解・院内寛解[#All],MATCH($AI62,阻害要因×在院期間区分＿寛解・院内寛解[[#All],[値]],0),MATCH($AU$4,阻害要因×在院期間区分＿寛解・院内寛解[#Headers],0)),0)+IFERROR(INDEX(阻害要因×在院期間区分＿寛解・院内寛解[#All],MATCH($AI62,阻害要因×在院期間区分＿寛解・院内寛解[[#All],[値]],0),MATCH($AV$4,阻害要因×在院期間区分＿寛解・院内寛解[#Headers],0)),0)+IFERROR(INDEX(阻害要因×在院期間区分＿寛解・院内寛解[#All],MATCH($AI62,阻害要因×在院期間区分＿寛解・院内寛解[[#All],[値]],0),MATCH($AW$4,阻害要因×在院期間区分＿寛解・院内寛解[#Headers],0)),0)</f>
        <v>0</v>
      </c>
      <c r="H61" s="72">
        <f t="shared" si="14"/>
        <v>0</v>
      </c>
      <c r="I61" s="69">
        <f>IFERROR(INDEX(阻害要因×在院期間区分＿寛解・院内寛解[#All],MATCH($AI62,阻害要因×在院期間区分＿寛解・院内寛解[[#All],[値]],0),MATCH($AX$4,阻害要因×在院期間区分＿寛解・院内寛解[#Headers],0)),0)+IFERROR(INDEX(阻害要因×在院期間区分＿寛解・院内寛解[#All],MATCH($AI62,阻害要因×在院期間区分＿寛解・院内寛解[[#All],[値]],0),MATCH($AY$4,阻害要因×在院期間区分＿寛解・院内寛解[#Headers],0)),0)</f>
        <v>0</v>
      </c>
      <c r="J61" s="72">
        <f t="shared" si="15"/>
        <v>0</v>
      </c>
      <c r="K61" s="38">
        <f t="shared" si="16"/>
        <v>1</v>
      </c>
      <c r="L61" s="55" t="s">
        <v>177</v>
      </c>
      <c r="M61" s="65">
        <v>0</v>
      </c>
      <c r="N61" s="65">
        <v>0</v>
      </c>
      <c r="O61" s="65">
        <v>0</v>
      </c>
      <c r="P61" s="65">
        <v>0</v>
      </c>
      <c r="Q61" s="65">
        <v>0</v>
      </c>
      <c r="R61" s="65">
        <v>1</v>
      </c>
      <c r="S61" s="65">
        <v>0</v>
      </c>
      <c r="T61" s="65">
        <v>0</v>
      </c>
      <c r="U61" s="65">
        <v>0</v>
      </c>
      <c r="V61" s="65">
        <v>0</v>
      </c>
      <c r="W61" s="65">
        <v>0</v>
      </c>
      <c r="X61" s="65">
        <v>0</v>
      </c>
      <c r="Y61" s="65">
        <v>0</v>
      </c>
      <c r="Z61" s="65">
        <v>0</v>
      </c>
      <c r="AA61" s="65">
        <v>0</v>
      </c>
      <c r="AB61" s="65">
        <v>0</v>
      </c>
      <c r="AI61" s="407" t="s">
        <v>176</v>
      </c>
    </row>
    <row r="62" spans="2:35" ht="18.75" customHeight="1" x14ac:dyDescent="0.15">
      <c r="B62" s="104" t="s">
        <v>50</v>
      </c>
      <c r="C62" s="113">
        <f>IFERROR(INDEX(阻害要因×在院期間区分＿寛解・院内寛解[#All],MATCH($AI63,阻害要因×在院期間区分＿寛解・院内寛解[[#All],[値]],0),MATCH($AJ$4,阻害要因×在院期間区分＿寛解・院内寛解[#Headers],0)),0)+IFERROR(INDEX(阻害要因×在院期間区分＿寛解・院内寛解[#All],MATCH($AI63,阻害要因×在院期間区分＿寛解・院内寛解[[#All],[値]],0),MATCH($AK$4,阻害要因×在院期間区分＿寛解・院内寛解[#Headers],0)),0)+IFERROR(INDEX(阻害要因×在院期間区分＿寛解・院内寛解[#All],MATCH($AI63,阻害要因×在院期間区分＿寛解・院内寛解[[#All],[値]],0),MATCH($AL$4,阻害要因×在院期間区分＿寛解・院内寛解[#Headers],0)),0)+IFERROR(INDEX(阻害要因×在院期間区分＿寛解・院内寛解[#All],MATCH($AI63,阻害要因×在院期間区分＿寛解・院内寛解[[#All],[値]],0),MATCH($AM$4,阻害要因×在院期間区分＿寛解・院内寛解[#Headers],0)),0)</f>
        <v>20</v>
      </c>
      <c r="D62" s="72">
        <f t="shared" si="12"/>
        <v>9.6153846153846159E-2</v>
      </c>
      <c r="E62" s="70">
        <f>IFERROR(INDEX(阻害要因×在院期間区分＿寛解・院内寛解[#All],MATCH($AI63,阻害要因×在院期間区分＿寛解・院内寛解[[#All],[値]],0),MATCH($AN$4,阻害要因×在院期間区分＿寛解・院内寛解[#Headers],0)),0)+IFERROR(INDEX(阻害要因×在院期間区分＿寛解・院内寛解[#All],MATCH($AI63,阻害要因×在院期間区分＿寛解・院内寛解[[#All],[値]],0),MATCH($AO$4,阻害要因×在院期間区分＿寛解・院内寛解[#Headers],0)),0)+IFERROR(INDEX(阻害要因×在院期間区分＿寛解・院内寛解[#All],MATCH($AI63,阻害要因×在院期間区分＿寛解・院内寛解[[#All],[値]],0),MATCH($AP$4,阻害要因×在院期間区分＿寛解・院内寛解[#Headers],0)),0)+IFERROR(INDEX(阻害要因×在院期間区分＿寛解・院内寛解[#All],MATCH($AI63,阻害要因×在院期間区分＿寛解・院内寛解[[#All],[値]],0),MATCH($AQ$4,阻害要因×在院期間区分＿寛解・院内寛解[#Headers],0)),0)+IFERROR(INDEX(阻害要因×在院期間区分＿寛解・院内寛解[#All],MATCH($AI63,阻害要因×在院期間区分＿寛解・院内寛解[[#All],[値]],0),MATCH($AR$4,阻害要因×在院期間区分＿寛解・院内寛解[#Headers],0)),0)</f>
        <v>15</v>
      </c>
      <c r="F62" s="72">
        <f t="shared" si="13"/>
        <v>9.7402597402597407E-2</v>
      </c>
      <c r="G62" s="70">
        <f>IFERROR(INDEX(阻害要因×在院期間区分＿寛解・院内寛解[#All],MATCH($AI63,阻害要因×在院期間区分＿寛解・院内寛解[[#All],[値]],0),MATCH($AS$4,阻害要因×在院期間区分＿寛解・院内寛解[#Headers],0)),0)+IFERROR(INDEX(阻害要因×在院期間区分＿寛解・院内寛解[#All],MATCH($AI63,阻害要因×在院期間区分＿寛解・院内寛解[[#All],[値]],0),MATCH($AT$4,阻害要因×在院期間区分＿寛解・院内寛解[#Headers],0)),0)+IFERROR(INDEX(阻害要因×在院期間区分＿寛解・院内寛解[#All],MATCH($AI63,阻害要因×在院期間区分＿寛解・院内寛解[[#All],[値]],0),MATCH($AU$4,阻害要因×在院期間区分＿寛解・院内寛解[#Headers],0)),0)+IFERROR(INDEX(阻害要因×在院期間区分＿寛解・院内寛解[#All],MATCH($AI63,阻害要因×在院期間区分＿寛解・院内寛解[[#All],[値]],0),MATCH($AV$4,阻害要因×在院期間区分＿寛解・院内寛解[#Headers],0)),0)+IFERROR(INDEX(阻害要因×在院期間区分＿寛解・院内寛解[#All],MATCH($AI63,阻害要因×在院期間区分＿寛解・院内寛解[[#All],[値]],0),MATCH($AW$4,阻害要因×在院期間区分＿寛解・院内寛解[#Headers],0)),0)</f>
        <v>3</v>
      </c>
      <c r="H62" s="72">
        <f t="shared" si="14"/>
        <v>4.7619047619047616E-2</v>
      </c>
      <c r="I62" s="70">
        <f>IFERROR(INDEX(阻害要因×在院期間区分＿寛解・院内寛解[#All],MATCH($AI63,阻害要因×在院期間区分＿寛解・院内寛解[[#All],[値]],0),MATCH($AX$4,阻害要因×在院期間区分＿寛解・院内寛解[#Headers],0)),0)+IFERROR(INDEX(阻害要因×在院期間区分＿寛解・院内寛解[#All],MATCH($AI63,阻害要因×在院期間区分＿寛解・院内寛解[[#All],[値]],0),MATCH($AY$4,阻害要因×在院期間区分＿寛解・院内寛解[#Headers],0)),0)</f>
        <v>3</v>
      </c>
      <c r="J62" s="72">
        <f t="shared" si="15"/>
        <v>4.7619047619047616E-2</v>
      </c>
      <c r="K62" s="38">
        <f t="shared" si="16"/>
        <v>41</v>
      </c>
      <c r="L62" s="55" t="s">
        <v>178</v>
      </c>
      <c r="M62" s="65">
        <v>2</v>
      </c>
      <c r="N62" s="65">
        <v>5</v>
      </c>
      <c r="O62" s="65">
        <v>3</v>
      </c>
      <c r="P62" s="65">
        <v>10</v>
      </c>
      <c r="Q62" s="65">
        <v>2</v>
      </c>
      <c r="R62" s="65">
        <v>2</v>
      </c>
      <c r="S62" s="65">
        <v>2</v>
      </c>
      <c r="T62" s="65">
        <v>3</v>
      </c>
      <c r="U62" s="65">
        <v>6</v>
      </c>
      <c r="V62" s="65">
        <v>0</v>
      </c>
      <c r="W62" s="65">
        <v>1</v>
      </c>
      <c r="X62" s="65">
        <v>2</v>
      </c>
      <c r="Y62" s="65">
        <v>0</v>
      </c>
      <c r="Z62" s="65">
        <v>0</v>
      </c>
      <c r="AA62" s="65">
        <v>3</v>
      </c>
      <c r="AB62" s="65">
        <v>0</v>
      </c>
      <c r="AI62" s="407" t="s">
        <v>177</v>
      </c>
    </row>
    <row r="63" spans="2:35" ht="18.75" customHeight="1" x14ac:dyDescent="0.15">
      <c r="B63" s="104" t="s">
        <v>51</v>
      </c>
      <c r="C63" s="111">
        <f>IFERROR(INDEX(阻害要因×在院期間区分＿寛解・院内寛解[#All],MATCH($AI64,阻害要因×在院期間区分＿寛解・院内寛解[[#All],[値]],0),MATCH($AJ$4,阻害要因×在院期間区分＿寛解・院内寛解[#Headers],0)),0)+IFERROR(INDEX(阻害要因×在院期間区分＿寛解・院内寛解[#All],MATCH($AI64,阻害要因×在院期間区分＿寛解・院内寛解[[#All],[値]],0),MATCH($AK$4,阻害要因×在院期間区分＿寛解・院内寛解[#Headers],0)),0)+IFERROR(INDEX(阻害要因×在院期間区分＿寛解・院内寛解[#All],MATCH($AI64,阻害要因×在院期間区分＿寛解・院内寛解[[#All],[値]],0),MATCH($AL$4,阻害要因×在院期間区分＿寛解・院内寛解[#Headers],0)),0)+IFERROR(INDEX(阻害要因×在院期間区分＿寛解・院内寛解[#All],MATCH($AI64,阻害要因×在院期間区分＿寛解・院内寛解[[#All],[値]],0),MATCH($AM$4,阻害要因×在院期間区分＿寛解・院内寛解[#Headers],0)),0)</f>
        <v>20</v>
      </c>
      <c r="D63" s="72">
        <f t="shared" si="12"/>
        <v>9.6153846153846159E-2</v>
      </c>
      <c r="E63" s="69">
        <f>IFERROR(INDEX(阻害要因×在院期間区分＿寛解・院内寛解[#All],MATCH($AI64,阻害要因×在院期間区分＿寛解・院内寛解[[#All],[値]],0),MATCH($AN$4,阻害要因×在院期間区分＿寛解・院内寛解[#Headers],0)),0)+IFERROR(INDEX(阻害要因×在院期間区分＿寛解・院内寛解[#All],MATCH($AI64,阻害要因×在院期間区分＿寛解・院内寛解[[#All],[値]],0),MATCH($AO$4,阻害要因×在院期間区分＿寛解・院内寛解[#Headers],0)),0)+IFERROR(INDEX(阻害要因×在院期間区分＿寛解・院内寛解[#All],MATCH($AI64,阻害要因×在院期間区分＿寛解・院内寛解[[#All],[値]],0),MATCH($AP$4,阻害要因×在院期間区分＿寛解・院内寛解[#Headers],0)),0)+IFERROR(INDEX(阻害要因×在院期間区分＿寛解・院内寛解[#All],MATCH($AI64,阻害要因×在院期間区分＿寛解・院内寛解[[#All],[値]],0),MATCH($AQ$4,阻害要因×在院期間区分＿寛解・院内寛解[#Headers],0)),0)+IFERROR(INDEX(阻害要因×在院期間区分＿寛解・院内寛解[#All],MATCH($AI64,阻害要因×在院期間区分＿寛解・院内寛解[[#All],[値]],0),MATCH($AR$4,阻害要因×在院期間区分＿寛解・院内寛解[#Headers],0)),0)</f>
        <v>11</v>
      </c>
      <c r="F63" s="72">
        <f t="shared" si="13"/>
        <v>7.1428571428571425E-2</v>
      </c>
      <c r="G63" s="69">
        <f>IFERROR(INDEX(阻害要因×在院期間区分＿寛解・院内寛解[#All],MATCH($AI64,阻害要因×在院期間区分＿寛解・院内寛解[[#All],[値]],0),MATCH($AS$4,阻害要因×在院期間区分＿寛解・院内寛解[#Headers],0)),0)+IFERROR(INDEX(阻害要因×在院期間区分＿寛解・院内寛解[#All],MATCH($AI64,阻害要因×在院期間区分＿寛解・院内寛解[[#All],[値]],0),MATCH($AT$4,阻害要因×在院期間区分＿寛解・院内寛解[#Headers],0)),0)+IFERROR(INDEX(阻害要因×在院期間区分＿寛解・院内寛解[#All],MATCH($AI64,阻害要因×在院期間区分＿寛解・院内寛解[[#All],[値]],0),MATCH($AU$4,阻害要因×在院期間区分＿寛解・院内寛解[#Headers],0)),0)+IFERROR(INDEX(阻害要因×在院期間区分＿寛解・院内寛解[#All],MATCH($AI64,阻害要因×在院期間区分＿寛解・院内寛解[[#All],[値]],0),MATCH($AV$4,阻害要因×在院期間区分＿寛解・院内寛解[#Headers],0)),0)+IFERROR(INDEX(阻害要因×在院期間区分＿寛解・院内寛解[#All],MATCH($AI64,阻害要因×在院期間区分＿寛解・院内寛解[[#All],[値]],0),MATCH($AW$4,阻害要因×在院期間区分＿寛解・院内寛解[#Headers],0)),0)</f>
        <v>8</v>
      </c>
      <c r="H63" s="72">
        <f t="shared" si="14"/>
        <v>0.12698412698412698</v>
      </c>
      <c r="I63" s="69">
        <f>IFERROR(INDEX(阻害要因×在院期間区分＿寛解・院内寛解[#All],MATCH($AI64,阻害要因×在院期間区分＿寛解・院内寛解[[#All],[値]],0),MATCH($AX$4,阻害要因×在院期間区分＿寛解・院内寛解[#Headers],0)),0)+IFERROR(INDEX(阻害要因×在院期間区分＿寛解・院内寛解[#All],MATCH($AI64,阻害要因×在院期間区分＿寛解・院内寛解[[#All],[値]],0),MATCH($AY$4,阻害要因×在院期間区分＿寛解・院内寛解[#Headers],0)),0)</f>
        <v>4</v>
      </c>
      <c r="J63" s="72">
        <f t="shared" si="15"/>
        <v>6.3492063492063489E-2</v>
      </c>
      <c r="K63" s="38">
        <f t="shared" si="16"/>
        <v>43</v>
      </c>
      <c r="L63" s="55" t="s">
        <v>179</v>
      </c>
      <c r="M63" s="65">
        <v>2</v>
      </c>
      <c r="N63" s="65">
        <v>5</v>
      </c>
      <c r="O63" s="65">
        <v>4</v>
      </c>
      <c r="P63" s="65">
        <v>9</v>
      </c>
      <c r="Q63" s="65">
        <v>0</v>
      </c>
      <c r="R63" s="65">
        <v>0</v>
      </c>
      <c r="S63" s="65">
        <v>4</v>
      </c>
      <c r="T63" s="65">
        <v>5</v>
      </c>
      <c r="U63" s="65">
        <v>2</v>
      </c>
      <c r="V63" s="65">
        <v>1</v>
      </c>
      <c r="W63" s="65">
        <v>1</v>
      </c>
      <c r="X63" s="65">
        <v>5</v>
      </c>
      <c r="Y63" s="65">
        <v>1</v>
      </c>
      <c r="Z63" s="65">
        <v>0</v>
      </c>
      <c r="AA63" s="65">
        <v>4</v>
      </c>
      <c r="AB63" s="65">
        <v>0</v>
      </c>
      <c r="AI63" s="407" t="s">
        <v>178</v>
      </c>
    </row>
    <row r="64" spans="2:35" ht="18.75" customHeight="1" x14ac:dyDescent="0.15">
      <c r="B64" s="104" t="s">
        <v>247</v>
      </c>
      <c r="C64" s="111">
        <f>IFERROR(INDEX(阻害要因×在院期間区分＿寛解・院内寛解[#All],MATCH($AI65,阻害要因×在院期間区分＿寛解・院内寛解[[#All],[値]],0),MATCH($AJ$4,阻害要因×在院期間区分＿寛解・院内寛解[#Headers],0)),0)+IFERROR(INDEX(阻害要因×在院期間区分＿寛解・院内寛解[#All],MATCH($AI65,阻害要因×在院期間区分＿寛解・院内寛解[[#All],[値]],0),MATCH($AK$4,阻害要因×在院期間区分＿寛解・院内寛解[#Headers],0)),0)+IFERROR(INDEX(阻害要因×在院期間区分＿寛解・院内寛解[#All],MATCH($AI65,阻害要因×在院期間区分＿寛解・院内寛解[[#All],[値]],0),MATCH($AL$4,阻害要因×在院期間区分＿寛解・院内寛解[#Headers],0)),0)+IFERROR(INDEX(阻害要因×在院期間区分＿寛解・院内寛解[#All],MATCH($AI65,阻害要因×在院期間区分＿寛解・院内寛解[[#All],[値]],0),MATCH($AM$4,阻害要因×在院期間区分＿寛解・院内寛解[#Headers],0)),0)</f>
        <v>6</v>
      </c>
      <c r="D64" s="72">
        <f t="shared" si="12"/>
        <v>2.8846153846153848E-2</v>
      </c>
      <c r="E64" s="69">
        <f>IFERROR(INDEX(阻害要因×在院期間区分＿寛解・院内寛解[#All],MATCH($AI65,阻害要因×在院期間区分＿寛解・院内寛解[[#All],[値]],0),MATCH($AN$4,阻害要因×在院期間区分＿寛解・院内寛解[#Headers],0)),0)+IFERROR(INDEX(阻害要因×在院期間区分＿寛解・院内寛解[#All],MATCH($AI65,阻害要因×在院期間区分＿寛解・院内寛解[[#All],[値]],0),MATCH($AO$4,阻害要因×在院期間区分＿寛解・院内寛解[#Headers],0)),0)+IFERROR(INDEX(阻害要因×在院期間区分＿寛解・院内寛解[#All],MATCH($AI65,阻害要因×在院期間区分＿寛解・院内寛解[[#All],[値]],0),MATCH($AP$4,阻害要因×在院期間区分＿寛解・院内寛解[#Headers],0)),0)+IFERROR(INDEX(阻害要因×在院期間区分＿寛解・院内寛解[#All],MATCH($AI65,阻害要因×在院期間区分＿寛解・院内寛解[[#All],[値]],0),MATCH($AQ$4,阻害要因×在院期間区分＿寛解・院内寛解[#Headers],0)),0)+IFERROR(INDEX(阻害要因×在院期間区分＿寛解・院内寛解[#All],MATCH($AI65,阻害要因×在院期間区分＿寛解・院内寛解[[#All],[値]],0),MATCH($AR$4,阻害要因×在院期間区分＿寛解・院内寛解[#Headers],0)),0)</f>
        <v>2</v>
      </c>
      <c r="F64" s="72">
        <f t="shared" si="13"/>
        <v>1.2987012987012988E-2</v>
      </c>
      <c r="G64" s="69">
        <f>IFERROR(INDEX(阻害要因×在院期間区分＿寛解・院内寛解[#All],MATCH($AI65,阻害要因×在院期間区分＿寛解・院内寛解[[#All],[値]],0),MATCH($AS$4,阻害要因×在院期間区分＿寛解・院内寛解[#Headers],0)),0)+IFERROR(INDEX(阻害要因×在院期間区分＿寛解・院内寛解[#All],MATCH($AI65,阻害要因×在院期間区分＿寛解・院内寛解[[#All],[値]],0),MATCH($AT$4,阻害要因×在院期間区分＿寛解・院内寛解[#Headers],0)),0)+IFERROR(INDEX(阻害要因×在院期間区分＿寛解・院内寛解[#All],MATCH($AI65,阻害要因×在院期間区分＿寛解・院内寛解[[#All],[値]],0),MATCH($AU$4,阻害要因×在院期間区分＿寛解・院内寛解[#Headers],0)),0)+IFERROR(INDEX(阻害要因×在院期間区分＿寛解・院内寛解[#All],MATCH($AI65,阻害要因×在院期間区分＿寛解・院内寛解[[#All],[値]],0),MATCH($AV$4,阻害要因×在院期間区分＿寛解・院内寛解[#Headers],0)),0)+IFERROR(INDEX(阻害要因×在院期間区分＿寛解・院内寛解[#All],MATCH($AI65,阻害要因×在院期間区分＿寛解・院内寛解[[#All],[値]],0),MATCH($AW$4,阻害要因×在院期間区分＿寛解・院内寛解[#Headers],0)),0)</f>
        <v>2</v>
      </c>
      <c r="H64" s="72">
        <f t="shared" si="14"/>
        <v>3.1746031746031744E-2</v>
      </c>
      <c r="I64" s="69">
        <f>IFERROR(INDEX(阻害要因×在院期間区分＿寛解・院内寛解[#All],MATCH($AI65,阻害要因×在院期間区分＿寛解・院内寛解[[#All],[値]],0),MATCH($AX$4,阻害要因×在院期間区分＿寛解・院内寛解[#Headers],0)),0)+IFERROR(INDEX(阻害要因×在院期間区分＿寛解・院内寛解[#All],MATCH($AI65,阻害要因×在院期間区分＿寛解・院内寛解[[#All],[値]],0),MATCH($AY$4,阻害要因×在院期間区分＿寛解・院内寛解[#Headers],0)),0)</f>
        <v>0</v>
      </c>
      <c r="J64" s="72">
        <f t="shared" si="15"/>
        <v>0</v>
      </c>
      <c r="K64" s="38">
        <f t="shared" si="16"/>
        <v>10</v>
      </c>
      <c r="L64" s="55" t="s">
        <v>180</v>
      </c>
      <c r="M64" s="65">
        <v>0</v>
      </c>
      <c r="N64" s="65">
        <v>1</v>
      </c>
      <c r="O64" s="65">
        <v>1</v>
      </c>
      <c r="P64" s="65">
        <v>4</v>
      </c>
      <c r="Q64" s="65">
        <v>0</v>
      </c>
      <c r="R64" s="65">
        <v>0</v>
      </c>
      <c r="S64" s="65">
        <v>1</v>
      </c>
      <c r="T64" s="65">
        <v>1</v>
      </c>
      <c r="U64" s="65">
        <v>0</v>
      </c>
      <c r="V64" s="65">
        <v>1</v>
      </c>
      <c r="W64" s="65">
        <v>0</v>
      </c>
      <c r="X64" s="65">
        <v>1</v>
      </c>
      <c r="Y64" s="65">
        <v>0</v>
      </c>
      <c r="Z64" s="65">
        <v>0</v>
      </c>
      <c r="AA64" s="65">
        <v>0</v>
      </c>
      <c r="AB64" s="65">
        <v>0</v>
      </c>
      <c r="AI64" s="407" t="s">
        <v>179</v>
      </c>
    </row>
    <row r="65" spans="2:35" s="537" customFormat="1" ht="18.75" customHeight="1" x14ac:dyDescent="0.15">
      <c r="B65" s="541" t="s">
        <v>381</v>
      </c>
      <c r="C65" s="111">
        <f>IFERROR(INDEX(阻害要因×在院期間区分＿寛解・院内寛解[#All],MATCH($AI66,阻害要因×在院期間区分＿寛解・院内寛解[[#All],[値]],0),MATCH($AJ$4,阻害要因×在院期間区分＿寛解・院内寛解[#Headers],0)),0)+IFERROR(INDEX(阻害要因×在院期間区分＿寛解・院内寛解[#All],MATCH($AI66,阻害要因×在院期間区分＿寛解・院内寛解[[#All],[値]],0),MATCH($AK$4,阻害要因×在院期間区分＿寛解・院内寛解[#Headers],0)),0)+IFERROR(INDEX(阻害要因×在院期間区分＿寛解・院内寛解[#All],MATCH($AI66,阻害要因×在院期間区分＿寛解・院内寛解[[#All],[値]],0),MATCH($AL$4,阻害要因×在院期間区分＿寛解・院内寛解[#Headers],0)),0)+IFERROR(INDEX(阻害要因×在院期間区分＿寛解・院内寛解[#All],MATCH($AI66,阻害要因×在院期間区分＿寛解・院内寛解[[#All],[値]],0),MATCH($AM$4,阻害要因×在院期間区分＿寛解・院内寛解[#Headers],0)),0)</f>
        <v>20</v>
      </c>
      <c r="D65" s="72">
        <f t="shared" ref="D65:D67" si="17">IFERROR(C65/C$44,"-")</f>
        <v>9.6153846153846159E-2</v>
      </c>
      <c r="E65" s="69">
        <f>IFERROR(INDEX(阻害要因×在院期間区分＿寛解・院内寛解[#All],MATCH($AI66,阻害要因×在院期間区分＿寛解・院内寛解[[#All],[値]],0),MATCH($AN$4,阻害要因×在院期間区分＿寛解・院内寛解[#Headers],0)),0)+IFERROR(INDEX(阻害要因×在院期間区分＿寛解・院内寛解[#All],MATCH($AI66,阻害要因×在院期間区分＿寛解・院内寛解[[#All],[値]],0),MATCH($AO$4,阻害要因×在院期間区分＿寛解・院内寛解[#Headers],0)),0)+IFERROR(INDEX(阻害要因×在院期間区分＿寛解・院内寛解[#All],MATCH($AI66,阻害要因×在院期間区分＿寛解・院内寛解[[#All],[値]],0),MATCH($AP$4,阻害要因×在院期間区分＿寛解・院内寛解[#Headers],0)),0)+IFERROR(INDEX(阻害要因×在院期間区分＿寛解・院内寛解[#All],MATCH($AI66,阻害要因×在院期間区分＿寛解・院内寛解[[#All],[値]],0),MATCH($AQ$4,阻害要因×在院期間区分＿寛解・院内寛解[#Headers],0)),0)+IFERROR(INDEX(阻害要因×在院期間区分＿寛解・院内寛解[#All],MATCH($AI66,阻害要因×在院期間区分＿寛解・院内寛解[[#All],[値]],0),MATCH($AR$4,阻害要因×在院期間区分＿寛解・院内寛解[#Headers],0)),0)</f>
        <v>9</v>
      </c>
      <c r="F65" s="72">
        <f t="shared" ref="F65:F67" si="18">IFERROR(E65/E$44,"-")</f>
        <v>5.844155844155844E-2</v>
      </c>
      <c r="G65" s="69">
        <f>IFERROR(INDEX(阻害要因×在院期間区分＿寛解・院内寛解[#All],MATCH($AI66,阻害要因×在院期間区分＿寛解・院内寛解[[#All],[値]],0),MATCH($AS$4,阻害要因×在院期間区分＿寛解・院内寛解[#Headers],0)),0)+IFERROR(INDEX(阻害要因×在院期間区分＿寛解・院内寛解[#All],MATCH($AI66,阻害要因×在院期間区分＿寛解・院内寛解[[#All],[値]],0),MATCH($AT$4,阻害要因×在院期間区分＿寛解・院内寛解[#Headers],0)),0)+IFERROR(INDEX(阻害要因×在院期間区分＿寛解・院内寛解[#All],MATCH($AI66,阻害要因×在院期間区分＿寛解・院内寛解[[#All],[値]],0),MATCH($AU$4,阻害要因×在院期間区分＿寛解・院内寛解[#Headers],0)),0)+IFERROR(INDEX(阻害要因×在院期間区分＿寛解・院内寛解[#All],MATCH($AI66,阻害要因×在院期間区分＿寛解・院内寛解[[#All],[値]],0),MATCH($AV$4,阻害要因×在院期間区分＿寛解・院内寛解[#Headers],0)),0)+IFERROR(INDEX(阻害要因×在院期間区分＿寛解・院内寛解[#All],MATCH($AI66,阻害要因×在院期間区分＿寛解・院内寛解[[#All],[値]],0),MATCH($AW$4,阻害要因×在院期間区分＿寛解・院内寛解[#Headers],0)),0)</f>
        <v>3</v>
      </c>
      <c r="H65" s="72">
        <f t="shared" ref="H65:H67" si="19">IFERROR(G65/G$44,"-")</f>
        <v>4.7619047619047616E-2</v>
      </c>
      <c r="I65" s="69">
        <f>IFERROR(INDEX(阻害要因×在院期間区分＿寛解・院内寛解[#All],MATCH($AI66,阻害要因×在院期間区分＿寛解・院内寛解[[#All],[値]],0),MATCH($AX$4,阻害要因×在院期間区分＿寛解・院内寛解[#Headers],0)),0)+IFERROR(INDEX(阻害要因×在院期間区分＿寛解・院内寛解[#All],MATCH($AI66,阻害要因×在院期間区分＿寛解・院内寛解[[#All],[値]],0),MATCH($AY$4,阻害要因×在院期間区分＿寛解・院内寛解[#Headers],0)),0)</f>
        <v>3</v>
      </c>
      <c r="J65" s="72">
        <f t="shared" ref="J65:J67" si="20">IFERROR(I65/I$44,"-")</f>
        <v>4.7619047619047616E-2</v>
      </c>
      <c r="K65" s="38">
        <f t="shared" si="16"/>
        <v>35</v>
      </c>
      <c r="L65" s="55" t="s">
        <v>383</v>
      </c>
      <c r="M65" s="540">
        <v>3</v>
      </c>
      <c r="N65" s="65">
        <v>6</v>
      </c>
      <c r="O65" s="65">
        <v>7</v>
      </c>
      <c r="P65" s="65">
        <v>4</v>
      </c>
      <c r="Q65" s="65">
        <v>2</v>
      </c>
      <c r="R65" s="65">
        <v>1</v>
      </c>
      <c r="S65" s="65">
        <v>2</v>
      </c>
      <c r="T65" s="65">
        <v>4</v>
      </c>
      <c r="U65" s="65">
        <v>0</v>
      </c>
      <c r="V65" s="65">
        <v>2</v>
      </c>
      <c r="W65" s="65">
        <v>0</v>
      </c>
      <c r="X65" s="65">
        <v>0</v>
      </c>
      <c r="Y65" s="65">
        <v>0</v>
      </c>
      <c r="Z65" s="65">
        <v>1</v>
      </c>
      <c r="AA65" s="65">
        <v>1</v>
      </c>
      <c r="AB65" s="65">
        <v>2</v>
      </c>
      <c r="AI65" s="407" t="s">
        <v>180</v>
      </c>
    </row>
    <row r="66" spans="2:35" s="537" customFormat="1" ht="38.25" customHeight="1" x14ac:dyDescent="0.15">
      <c r="B66" s="542" t="s">
        <v>382</v>
      </c>
      <c r="C66" s="111">
        <f>IFERROR(INDEX(阻害要因×在院期間区分＿寛解・院内寛解[#All],MATCH($AI67,阻害要因×在院期間区分＿寛解・院内寛解[[#All],[値]],0),MATCH($AJ$4,阻害要因×在院期間区分＿寛解・院内寛解[#Headers],0)),0)+IFERROR(INDEX(阻害要因×在院期間区分＿寛解・院内寛解[#All],MATCH($AI67,阻害要因×在院期間区分＿寛解・院内寛解[[#All],[値]],0),MATCH($AK$4,阻害要因×在院期間区分＿寛解・院内寛解[#Headers],0)),0)+IFERROR(INDEX(阻害要因×在院期間区分＿寛解・院内寛解[#All],MATCH($AI67,阻害要因×在院期間区分＿寛解・院内寛解[[#All],[値]],0),MATCH($AL$4,阻害要因×在院期間区分＿寛解・院内寛解[#Headers],0)),0)+IFERROR(INDEX(阻害要因×在院期間区分＿寛解・院内寛解[#All],MATCH($AI67,阻害要因×在院期間区分＿寛解・院内寛解[[#All],[値]],0),MATCH($AM$4,阻害要因×在院期間区分＿寛解・院内寛解[#Headers],0)),0)</f>
        <v>19</v>
      </c>
      <c r="D66" s="72">
        <f t="shared" si="17"/>
        <v>9.1346153846153841E-2</v>
      </c>
      <c r="E66" s="69">
        <f>IFERROR(INDEX(阻害要因×在院期間区分＿寛解・院内寛解[#All],MATCH($AI67,阻害要因×在院期間区分＿寛解・院内寛解[[#All],[値]],0),MATCH($AN$4,阻害要因×在院期間区分＿寛解・院内寛解[#Headers],0)),0)+IFERROR(INDEX(阻害要因×在院期間区分＿寛解・院内寛解[#All],MATCH($AI67,阻害要因×在院期間区分＿寛解・院内寛解[[#All],[値]],0),MATCH($AO$4,阻害要因×在院期間区分＿寛解・院内寛解[#Headers],0)),0)+IFERROR(INDEX(阻害要因×在院期間区分＿寛解・院内寛解[#All],MATCH($AI67,阻害要因×在院期間区分＿寛解・院内寛解[[#All],[値]],0),MATCH($AP$4,阻害要因×在院期間区分＿寛解・院内寛解[#Headers],0)),0)+IFERROR(INDEX(阻害要因×在院期間区分＿寛解・院内寛解[#All],MATCH($AI67,阻害要因×在院期間区分＿寛解・院内寛解[[#All],[値]],0),MATCH($AQ$4,阻害要因×在院期間区分＿寛解・院内寛解[#Headers],0)),0)+IFERROR(INDEX(阻害要因×在院期間区分＿寛解・院内寛解[#All],MATCH($AI67,阻害要因×在院期間区分＿寛解・院内寛解[[#All],[値]],0),MATCH($AR$4,阻害要因×在院期間区分＿寛解・院内寛解[#Headers],0)),0)</f>
        <v>1</v>
      </c>
      <c r="F66" s="72">
        <f t="shared" si="18"/>
        <v>6.4935064935064939E-3</v>
      </c>
      <c r="G66" s="69">
        <f>IFERROR(INDEX(阻害要因×在院期間区分＿寛解・院内寛解[#All],MATCH($AI67,阻害要因×在院期間区分＿寛解・院内寛解[[#All],[値]],0),MATCH($AS$4,阻害要因×在院期間区分＿寛解・院内寛解[#Headers],0)),0)+IFERROR(INDEX(阻害要因×在院期間区分＿寛解・院内寛解[#All],MATCH($AI67,阻害要因×在院期間区分＿寛解・院内寛解[[#All],[値]],0),MATCH($AT$4,阻害要因×在院期間区分＿寛解・院内寛解[#Headers],0)),0)+IFERROR(INDEX(阻害要因×在院期間区分＿寛解・院内寛解[#All],MATCH($AI67,阻害要因×在院期間区分＿寛解・院内寛解[[#All],[値]],0),MATCH($AU$4,阻害要因×在院期間区分＿寛解・院内寛解[#Headers],0)),0)+IFERROR(INDEX(阻害要因×在院期間区分＿寛解・院内寛解[#All],MATCH($AI67,阻害要因×在院期間区分＿寛解・院内寛解[[#All],[値]],0),MATCH($AV$4,阻害要因×在院期間区分＿寛解・院内寛解[#Headers],0)),0)+IFERROR(INDEX(阻害要因×在院期間区分＿寛解・院内寛解[#All],MATCH($AI67,阻害要因×在院期間区分＿寛解・院内寛解[[#All],[値]],0),MATCH($AW$4,阻害要因×在院期間区分＿寛解・院内寛解[#Headers],0)),0)</f>
        <v>0</v>
      </c>
      <c r="H66" s="72">
        <f t="shared" si="19"/>
        <v>0</v>
      </c>
      <c r="I66" s="69">
        <f>IFERROR(INDEX(阻害要因×在院期間区分＿寛解・院内寛解[#All],MATCH($AI67,阻害要因×在院期間区分＿寛解・院内寛解[[#All],[値]],0),MATCH($AX$4,阻害要因×在院期間区分＿寛解・院内寛解[#Headers],0)),0)+IFERROR(INDEX(阻害要因×在院期間区分＿寛解・院内寛解[#All],MATCH($AI67,阻害要因×在院期間区分＿寛解・院内寛解[[#All],[値]],0),MATCH($AY$4,阻害要因×在院期間区分＿寛解・院内寛解[#Headers],0)),0)</f>
        <v>3</v>
      </c>
      <c r="J66" s="72">
        <f t="shared" si="20"/>
        <v>4.7619047619047616E-2</v>
      </c>
      <c r="K66" s="38">
        <f t="shared" si="16"/>
        <v>23</v>
      </c>
      <c r="L66" s="55" t="s">
        <v>384</v>
      </c>
      <c r="M66" s="540">
        <v>3</v>
      </c>
      <c r="N66" s="65">
        <v>8</v>
      </c>
      <c r="O66" s="65">
        <v>3</v>
      </c>
      <c r="P66" s="65">
        <v>5</v>
      </c>
      <c r="Q66" s="65">
        <v>0</v>
      </c>
      <c r="R66" s="65">
        <v>0</v>
      </c>
      <c r="S66" s="65">
        <v>1</v>
      </c>
      <c r="T66" s="65">
        <v>0</v>
      </c>
      <c r="U66" s="65">
        <v>0</v>
      </c>
      <c r="V66" s="65">
        <v>0</v>
      </c>
      <c r="W66" s="65">
        <v>0</v>
      </c>
      <c r="X66" s="65">
        <v>0</v>
      </c>
      <c r="Y66" s="65">
        <v>0</v>
      </c>
      <c r="Z66" s="65">
        <v>0</v>
      </c>
      <c r="AA66" s="65">
        <v>2</v>
      </c>
      <c r="AB66" s="65">
        <v>1</v>
      </c>
      <c r="AI66" s="407" t="s">
        <v>383</v>
      </c>
    </row>
    <row r="67" spans="2:35" x14ac:dyDescent="0.15">
      <c r="B67" s="106" t="s">
        <v>53</v>
      </c>
      <c r="C67" s="543">
        <f>IFERROR(INDEX(阻害要因×在院期間区分＿寛解・院内寛解[#All],MATCH($AI68,阻害要因×在院期間区分＿寛解・院内寛解[[#All],[値]],0),MATCH($AJ$4,阻害要因×在院期間区分＿寛解・院内寛解[#Headers],0)),0)+IFERROR(INDEX(阻害要因×在院期間区分＿寛解・院内寛解[#All],MATCH($AI68,阻害要因×在院期間区分＿寛解・院内寛解[[#All],[値]],0),MATCH($AK$4,阻害要因×在院期間区分＿寛解・院内寛解[#Headers],0)),0)+IFERROR(INDEX(阻害要因×在院期間区分＿寛解・院内寛解[#All],MATCH($AI68,阻害要因×在院期間区分＿寛解・院内寛解[[#All],[値]],0),MATCH($AL$4,阻害要因×在院期間区分＿寛解・院内寛解[#Headers],0)),0)+IFERROR(INDEX(阻害要因×在院期間区分＿寛解・院内寛解[#All],MATCH($AI68,阻害要因×在院期間区分＿寛解・院内寛解[[#All],[値]],0),MATCH($AM$4,阻害要因×在院期間区分＿寛解・院内寛解[#Headers],0)),0)</f>
        <v>10</v>
      </c>
      <c r="D67" s="76">
        <f t="shared" si="17"/>
        <v>4.807692307692308E-2</v>
      </c>
      <c r="E67" s="73">
        <f>IFERROR(INDEX(阻害要因×在院期間区分＿寛解・院内寛解[#All],MATCH($AI68,阻害要因×在院期間区分＿寛解・院内寛解[[#All],[値]],0),MATCH($AN$4,阻害要因×在院期間区分＿寛解・院内寛解[#Headers],0)),0)+IFERROR(INDEX(阻害要因×在院期間区分＿寛解・院内寛解[#All],MATCH($AI68,阻害要因×在院期間区分＿寛解・院内寛解[[#All],[値]],0),MATCH($AO$4,阻害要因×在院期間区分＿寛解・院内寛解[#Headers],0)),0)+IFERROR(INDEX(阻害要因×在院期間区分＿寛解・院内寛解[#All],MATCH($AI68,阻害要因×在院期間区分＿寛解・院内寛解[[#All],[値]],0),MATCH($AP$4,阻害要因×在院期間区分＿寛解・院内寛解[#Headers],0)),0)+IFERROR(INDEX(阻害要因×在院期間区分＿寛解・院内寛解[#All],MATCH($AI68,阻害要因×在院期間区分＿寛解・院内寛解[[#All],[値]],0),MATCH($AQ$4,阻害要因×在院期間区分＿寛解・院内寛解[#Headers],0)),0)+IFERROR(INDEX(阻害要因×在院期間区分＿寛解・院内寛解[#All],MATCH($AI68,阻害要因×在院期間区分＿寛解・院内寛解[[#All],[値]],0),MATCH($AR$4,阻害要因×在院期間区分＿寛解・院内寛解[#Headers],0)),0)</f>
        <v>5</v>
      </c>
      <c r="F67" s="76">
        <f t="shared" si="18"/>
        <v>3.2467532467532464E-2</v>
      </c>
      <c r="G67" s="73">
        <f>IFERROR(INDEX(阻害要因×在院期間区分＿寛解・院内寛解[#All],MATCH($AI68,阻害要因×在院期間区分＿寛解・院内寛解[[#All],[値]],0),MATCH($AS$4,阻害要因×在院期間区分＿寛解・院内寛解[#Headers],0)),0)+IFERROR(INDEX(阻害要因×在院期間区分＿寛解・院内寛解[#All],MATCH($AI68,阻害要因×在院期間区分＿寛解・院内寛解[[#All],[値]],0),MATCH($AT$4,阻害要因×在院期間区分＿寛解・院内寛解[#Headers],0)),0)+IFERROR(INDEX(阻害要因×在院期間区分＿寛解・院内寛解[#All],MATCH($AI68,阻害要因×在院期間区分＿寛解・院内寛解[[#All],[値]],0),MATCH($AU$4,阻害要因×在院期間区分＿寛解・院内寛解[#Headers],0)),0)+IFERROR(INDEX(阻害要因×在院期間区分＿寛解・院内寛解[#All],MATCH($AI68,阻害要因×在院期間区分＿寛解・院内寛解[[#All],[値]],0),MATCH($AV$4,阻害要因×在院期間区分＿寛解・院内寛解[#Headers],0)),0)+IFERROR(INDEX(阻害要因×在院期間区分＿寛解・院内寛解[#All],MATCH($AI68,阻害要因×在院期間区分＿寛解・院内寛解[[#All],[値]],0),MATCH($AW$4,阻害要因×在院期間区分＿寛解・院内寛解[#Headers],0)),0)</f>
        <v>1</v>
      </c>
      <c r="H67" s="76">
        <f t="shared" si="19"/>
        <v>1.5873015873015872E-2</v>
      </c>
      <c r="I67" s="73">
        <f>IFERROR(INDEX(阻害要因×在院期間区分＿寛解・院内寛解[#All],MATCH($AI68,阻害要因×在院期間区分＿寛解・院内寛解[[#All],[値]],0),MATCH($AX$4,阻害要因×在院期間区分＿寛解・院内寛解[#Headers],0)),0)+IFERROR(INDEX(阻害要因×在院期間区分＿寛解・院内寛解[#All],MATCH($AI68,阻害要因×在院期間区分＿寛解・院内寛解[[#All],[値]],0),MATCH($AY$4,阻害要因×在院期間区分＿寛解・院内寛解[#Headers],0)),0)</f>
        <v>2</v>
      </c>
      <c r="J67" s="76">
        <f t="shared" si="20"/>
        <v>3.1746031746031744E-2</v>
      </c>
      <c r="K67" s="38">
        <f t="shared" si="16"/>
        <v>18</v>
      </c>
      <c r="L67" s="55" t="s">
        <v>181</v>
      </c>
      <c r="M67" s="65">
        <v>2</v>
      </c>
      <c r="N67" s="65">
        <v>3</v>
      </c>
      <c r="O67" s="65">
        <v>1</v>
      </c>
      <c r="P67" s="65">
        <v>4</v>
      </c>
      <c r="Q67" s="65">
        <v>2</v>
      </c>
      <c r="R67" s="65">
        <v>1</v>
      </c>
      <c r="S67" s="65">
        <v>1</v>
      </c>
      <c r="T67" s="65">
        <v>1</v>
      </c>
      <c r="U67" s="65">
        <v>0</v>
      </c>
      <c r="V67" s="65">
        <v>0</v>
      </c>
      <c r="W67" s="65">
        <v>0</v>
      </c>
      <c r="X67" s="65">
        <v>0</v>
      </c>
      <c r="Y67" s="65">
        <v>1</v>
      </c>
      <c r="Z67" s="65">
        <v>0</v>
      </c>
      <c r="AA67" s="65">
        <v>0</v>
      </c>
      <c r="AB67" s="65">
        <v>2</v>
      </c>
      <c r="AI67" s="42" t="s">
        <v>384</v>
      </c>
    </row>
    <row r="68" spans="2:35" x14ac:dyDescent="0.15">
      <c r="C68" s="21"/>
      <c r="D68" s="21"/>
      <c r="E68" s="21"/>
      <c r="F68" s="66"/>
      <c r="I68" s="21"/>
      <c r="J68" s="80"/>
      <c r="L68" s="53"/>
      <c r="AI68" s="407" t="s">
        <v>181</v>
      </c>
    </row>
    <row r="69" spans="2:35" x14ac:dyDescent="0.15">
      <c r="F69" s="66"/>
      <c r="J69" s="66"/>
      <c r="L69" s="53"/>
    </row>
    <row r="70" spans="2:35" x14ac:dyDescent="0.15">
      <c r="F70" s="66"/>
      <c r="J70" s="66"/>
      <c r="L70" s="53"/>
    </row>
    <row r="71" spans="2:35" x14ac:dyDescent="0.15">
      <c r="F71" s="66"/>
      <c r="J71" s="66"/>
    </row>
    <row r="72" spans="2:35" x14ac:dyDescent="0.15">
      <c r="F72" s="66"/>
      <c r="J72" s="66"/>
    </row>
    <row r="73" spans="2:35" x14ac:dyDescent="0.15">
      <c r="F73" s="66"/>
      <c r="J73" s="66"/>
    </row>
  </sheetData>
  <mergeCells count="18">
    <mergeCell ref="B2:B3"/>
    <mergeCell ref="C2:J2"/>
    <mergeCell ref="C3:D3"/>
    <mergeCell ref="E3:F3"/>
    <mergeCell ref="B36:B37"/>
    <mergeCell ref="G3:H3"/>
    <mergeCell ref="I3:J3"/>
    <mergeCell ref="G37:H37"/>
    <mergeCell ref="I37:J37"/>
    <mergeCell ref="C36:J36"/>
    <mergeCell ref="C37:D37"/>
    <mergeCell ref="E37:F37"/>
    <mergeCell ref="C9:J9"/>
    <mergeCell ref="C12:J12"/>
    <mergeCell ref="B13:J13"/>
    <mergeCell ref="B47:J47"/>
    <mergeCell ref="C46:J46"/>
    <mergeCell ref="C43:J43"/>
  </mergeCells>
  <phoneticPr fontId="2"/>
  <printOptions horizontalCentered="1"/>
  <pageMargins left="0.70866141732283472" right="0.70866141732283472" top="0.74803149606299213" bottom="0.74803149606299213" header="0.31496062992125984" footer="0.31496062992125984"/>
  <pageSetup paperSize="9" scale="5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8" r:id="rId4" name="Button 2">
              <controlPr defaultSize="0" print="0" autoFill="0" autoPict="0" macro="[0]!データ削除_退院阻害要因在院期間区分">
                <anchor moveWithCells="1" sizeWithCells="1">
                  <from>
                    <xdr:col>28</xdr:col>
                    <xdr:colOff>409575</xdr:colOff>
                    <xdr:row>3</xdr:row>
                    <xdr:rowOff>57150</xdr:rowOff>
                  </from>
                  <to>
                    <xdr:col>31</xdr:col>
                    <xdr:colOff>142875</xdr:colOff>
                    <xdr:row>4</xdr:row>
                    <xdr:rowOff>57150</xdr:rowOff>
                  </to>
                </anchor>
              </controlPr>
            </control>
          </mc:Choice>
        </mc:AlternateContent>
      </controls>
    </mc:Choice>
  </mc:AlternateContent>
  <tableParts count="6">
    <tablePart r:id="rId5"/>
    <tablePart r:id="rId6"/>
    <tablePart r:id="rId7"/>
    <tablePart r:id="rId8"/>
    <tablePart r:id="rId9"/>
    <tablePart r:id="rId10"/>
  </tablePart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tabColor rgb="FFFF0000"/>
  </sheetPr>
  <dimension ref="B1:AZ71"/>
  <sheetViews>
    <sheetView showGridLines="0" view="pageBreakPreview" topLeftCell="C1" zoomScale="90" zoomScaleNormal="100" zoomScaleSheetLayoutView="90" workbookViewId="0">
      <selection activeCell="K1" sqref="K1:AH1048576"/>
    </sheetView>
  </sheetViews>
  <sheetFormatPr defaultRowHeight="18.75" x14ac:dyDescent="0.15"/>
  <cols>
    <col min="1" max="1" width="3" style="1" customWidth="1"/>
    <col min="2" max="2" width="38.75" style="1" customWidth="1"/>
    <col min="3" max="10" width="9.375" style="1" customWidth="1"/>
    <col min="11" max="11" width="9" style="1" hidden="1" customWidth="1"/>
    <col min="12" max="12" width="22.125" style="1" hidden="1" customWidth="1"/>
    <col min="13" max="29" width="11.375" style="1" hidden="1" customWidth="1"/>
    <col min="30" max="32" width="9.875" style="1" hidden="1" customWidth="1"/>
    <col min="33" max="52" width="9" style="1" hidden="1" customWidth="1"/>
    <col min="53" max="53" width="0" style="1" hidden="1" customWidth="1"/>
    <col min="54" max="16384" width="9" style="1"/>
  </cols>
  <sheetData>
    <row r="1" spans="2:52" ht="19.5" customHeight="1" x14ac:dyDescent="0.15">
      <c r="B1" s="2" t="s">
        <v>80</v>
      </c>
    </row>
    <row r="2" spans="2:52" ht="18.75" customHeight="1" x14ac:dyDescent="0.15">
      <c r="B2" s="913" t="s">
        <v>240</v>
      </c>
      <c r="C2" s="942" t="s">
        <v>81</v>
      </c>
      <c r="D2" s="943"/>
      <c r="E2" s="943"/>
      <c r="F2" s="943"/>
      <c r="G2" s="943"/>
      <c r="H2" s="943"/>
      <c r="I2" s="943"/>
      <c r="J2" s="944"/>
      <c r="L2" s="55" t="s">
        <v>63</v>
      </c>
    </row>
    <row r="3" spans="2:52" ht="18.75" customHeight="1" thickBot="1" x14ac:dyDescent="0.2">
      <c r="B3" s="914"/>
      <c r="C3" s="942" t="s">
        <v>268</v>
      </c>
      <c r="D3" s="943"/>
      <c r="E3" s="943"/>
      <c r="F3" s="944"/>
      <c r="G3" s="949" t="s">
        <v>73</v>
      </c>
      <c r="H3" s="950"/>
      <c r="I3" s="949" t="s">
        <v>76</v>
      </c>
      <c r="J3" s="950"/>
    </row>
    <row r="4" spans="2:52" ht="56.25" customHeight="1" thickTop="1" thickBot="1" x14ac:dyDescent="0.2">
      <c r="B4" s="941"/>
      <c r="C4" s="956" t="s">
        <v>198</v>
      </c>
      <c r="D4" s="957"/>
      <c r="E4" s="956" t="s">
        <v>199</v>
      </c>
      <c r="F4" s="957"/>
      <c r="G4" s="951"/>
      <c r="H4" s="952"/>
      <c r="I4" s="951"/>
      <c r="J4" s="952"/>
      <c r="L4" s="488" t="s">
        <v>373</v>
      </c>
      <c r="M4" s="86" t="s">
        <v>295</v>
      </c>
      <c r="N4" s="86" t="s">
        <v>284</v>
      </c>
      <c r="O4" s="86" t="s">
        <v>285</v>
      </c>
      <c r="P4" s="86" t="s">
        <v>286</v>
      </c>
      <c r="Q4" s="86" t="s">
        <v>200</v>
      </c>
      <c r="R4" s="86" t="s">
        <v>201</v>
      </c>
      <c r="S4" s="86" t="s">
        <v>287</v>
      </c>
      <c r="T4" s="86" t="s">
        <v>288</v>
      </c>
      <c r="U4" s="86" t="s">
        <v>289</v>
      </c>
      <c r="V4" s="86" t="s">
        <v>290</v>
      </c>
      <c r="W4" s="86" t="s">
        <v>291</v>
      </c>
      <c r="X4" s="86" t="s">
        <v>296</v>
      </c>
      <c r="Y4" s="86" t="s">
        <v>292</v>
      </c>
      <c r="Z4" s="86" t="s">
        <v>293</v>
      </c>
      <c r="AA4" s="86" t="s">
        <v>297</v>
      </c>
      <c r="AB4" s="86" t="s">
        <v>18</v>
      </c>
      <c r="AC4" s="86" t="s">
        <v>294</v>
      </c>
      <c r="AD4" s="86" t="s">
        <v>617</v>
      </c>
      <c r="AJ4" s="86" t="s">
        <v>295</v>
      </c>
      <c r="AK4" s="86" t="s">
        <v>284</v>
      </c>
      <c r="AL4" s="86" t="s">
        <v>285</v>
      </c>
      <c r="AM4" s="86" t="s">
        <v>286</v>
      </c>
      <c r="AN4" s="86" t="s">
        <v>200</v>
      </c>
      <c r="AO4" s="86" t="s">
        <v>201</v>
      </c>
      <c r="AP4" s="86" t="s">
        <v>287</v>
      </c>
      <c r="AQ4" s="86" t="s">
        <v>288</v>
      </c>
      <c r="AR4" s="86" t="s">
        <v>289</v>
      </c>
      <c r="AS4" s="86" t="s">
        <v>290</v>
      </c>
      <c r="AT4" s="86" t="s">
        <v>291</v>
      </c>
      <c r="AU4" s="86" t="s">
        <v>296</v>
      </c>
      <c r="AV4" s="86" t="s">
        <v>292</v>
      </c>
      <c r="AW4" s="86" t="s">
        <v>293</v>
      </c>
      <c r="AX4" s="86" t="s">
        <v>297</v>
      </c>
      <c r="AY4" s="86" t="s">
        <v>294</v>
      </c>
      <c r="AZ4" s="86" t="s">
        <v>18</v>
      </c>
    </row>
    <row r="5" spans="2:52" ht="37.5" customHeight="1" thickTop="1" x14ac:dyDescent="0.15">
      <c r="B5" s="87" t="s">
        <v>231</v>
      </c>
      <c r="C5" s="88">
        <f>IFERROR(INDEX(退院予定有無×疾患名[#All],MATCH($AI5,退院予定有無×疾患名[[#All],[行ラベル]],0),MATCH($AJ$4,退院予定有無×疾患名[#Headers],0)),0)+IFERROR(INDEX(退院予定有無×疾患名[#All],MATCH($AI5,退院予定有無×疾患名[[#All],[行ラベル]],0),MATCH($AK$4,退院予定有無×疾患名[#Headers],0)),0)</f>
        <v>290</v>
      </c>
      <c r="D5" s="89">
        <f>IFERROR(C5/C$8,"-")</f>
        <v>0.11793411956079707</v>
      </c>
      <c r="E5" s="88">
        <f>IFERROR(INDEX(退院予定有無×疾患名[#All],MATCH($AI5,退院予定有無×疾患名[[#All],[行ラベル]],0),MATCH($AL$4,退院予定有無×疾患名[#Headers],0)),0)</f>
        <v>247</v>
      </c>
      <c r="F5" s="89">
        <f>IFERROR(E5/E$8,"-")</f>
        <v>0.13907657657657657</v>
      </c>
      <c r="G5" s="88">
        <f>IFERROR(INDEX(退院予定有無×疾患名[#All],MATCH($AI5,退院予定有無×疾患名[[#All],[行ラベル]],0),MATCH($AP$4,退院予定有無×疾患名[#Headers],0)),0)</f>
        <v>1042</v>
      </c>
      <c r="H5" s="89">
        <f>IFERROR(G5/G$8,"-")</f>
        <v>0.14217492154454905</v>
      </c>
      <c r="I5" s="88">
        <f>IFERROR(INDEX(退院予定有無×疾患名[#All],MATCH($AI5,退院予定有無×疾患名[[#All],[行ラベル]],0),MATCH($AQ$4,退院予定有無×疾患名[#Headers],0)),0)+IFERROR(INDEX(退院予定有無×疾患名[#All],MATCH($AI5,退院予定有無×疾患名[[#All],[行ラベル]],0),MATCH($AR$4,退院予定有無×疾患名[#Headers],0)),0)</f>
        <v>248</v>
      </c>
      <c r="J5" s="89">
        <f>IFERROR(I5/I$8,"-")</f>
        <v>0.16177429876060012</v>
      </c>
      <c r="K5" s="38">
        <f>C5+E5+G5+I5</f>
        <v>1827</v>
      </c>
      <c r="L5" s="33">
        <v>98</v>
      </c>
      <c r="M5" s="59">
        <v>1688</v>
      </c>
      <c r="N5" s="59">
        <v>254</v>
      </c>
      <c r="O5" s="65">
        <v>1347</v>
      </c>
      <c r="P5" s="59">
        <v>432</v>
      </c>
      <c r="Q5" s="59">
        <v>29</v>
      </c>
      <c r="R5" s="59">
        <v>58</v>
      </c>
      <c r="S5" s="59">
        <v>5698</v>
      </c>
      <c r="T5" s="59">
        <v>517</v>
      </c>
      <c r="U5" s="59">
        <v>521</v>
      </c>
      <c r="V5" s="59">
        <v>151</v>
      </c>
      <c r="W5" s="59">
        <v>28</v>
      </c>
      <c r="X5" s="59">
        <v>33</v>
      </c>
      <c r="Y5" s="59">
        <v>221</v>
      </c>
      <c r="Z5" s="59">
        <v>112</v>
      </c>
      <c r="AA5" s="59">
        <v>26</v>
      </c>
      <c r="AB5" s="59">
        <v>142</v>
      </c>
      <c r="AC5" s="59">
        <v>0</v>
      </c>
      <c r="AD5" s="723">
        <v>0</v>
      </c>
      <c r="AI5" s="408">
        <v>97</v>
      </c>
    </row>
    <row r="6" spans="2:52" ht="18.75" customHeight="1" x14ac:dyDescent="0.15">
      <c r="B6" s="90" t="s">
        <v>241</v>
      </c>
      <c r="C6" s="69">
        <f>IFERROR(INDEX(退院予定有無×疾患名[#All],MATCH($AI6,退院予定有無×疾患名[[#All],[行ラベル]],0),MATCH($AJ$4,退院予定有無×疾患名[#Headers],0)),0)+IFERROR(INDEX(退院予定有無×疾患名[#All],MATCH($AI6,退院予定有無×疾患名[[#All],[行ラベル]],0),MATCH($AK$4,退院予定有無×疾患名[#Headers],0)),0)</f>
        <v>1942</v>
      </c>
      <c r="D6" s="68">
        <f>IFERROR(C6/C$8,"-")</f>
        <v>0.78975193167954449</v>
      </c>
      <c r="E6" s="69">
        <f>IFERROR(INDEX(退院予定有無×疾患名[#All],MATCH($AI6,退院予定有無×疾患名[[#All],[行ラベル]],0),MATCH($AL$4,退院予定有無×疾患名[#Headers],0)),0)</f>
        <v>1347</v>
      </c>
      <c r="F6" s="68">
        <f>IFERROR(E6/E$8,"-")</f>
        <v>0.75844594594594594</v>
      </c>
      <c r="G6" s="69">
        <f>IFERROR(INDEX(退院予定有無×疾患名[#All],MATCH($AI6,退院予定有無×疾患名[[#All],[行ラベル]],0),MATCH($AP$4,退院予定有無×疾患名[#Headers],0)),0)</f>
        <v>5698</v>
      </c>
      <c r="H6" s="68">
        <f>IFERROR(G6/G$8,"-")</f>
        <v>0.77745940783190071</v>
      </c>
      <c r="I6" s="69">
        <f>IFERROR(INDEX(退院予定有無×疾患名[#All],MATCH($AI6,退院予定有無×疾患名[[#All],[行ラベル]],0),MATCH($AQ$4,退院予定有無×疾患名[#Headers],0)),0)+IFERROR(INDEX(退院予定有無×疾患名[#All],MATCH($AI6,退院予定有無×疾患名[[#All],[行ラベル]],0),MATCH($AR$4,退院予定有無×疾患名[#Headers],0)),0)</f>
        <v>1038</v>
      </c>
      <c r="J6" s="68">
        <f>IFERROR(I6/I$8,"-")</f>
        <v>0.67710371819960857</v>
      </c>
      <c r="K6" s="38">
        <f>C6+E6+G6+I6</f>
        <v>10025</v>
      </c>
      <c r="L6" s="33">
        <v>97</v>
      </c>
      <c r="M6" s="59">
        <v>255</v>
      </c>
      <c r="N6" s="59">
        <v>35</v>
      </c>
      <c r="O6" s="65">
        <v>247</v>
      </c>
      <c r="P6" s="59">
        <v>121</v>
      </c>
      <c r="Q6" s="59">
        <v>6</v>
      </c>
      <c r="R6" s="59">
        <v>7</v>
      </c>
      <c r="S6" s="59">
        <v>1042</v>
      </c>
      <c r="T6" s="59">
        <v>131</v>
      </c>
      <c r="U6" s="59">
        <v>117</v>
      </c>
      <c r="V6" s="59">
        <v>36</v>
      </c>
      <c r="W6" s="59">
        <v>1</v>
      </c>
      <c r="X6" s="59">
        <v>7</v>
      </c>
      <c r="Y6" s="59">
        <v>29</v>
      </c>
      <c r="Z6" s="59">
        <v>14</v>
      </c>
      <c r="AA6" s="59">
        <v>5</v>
      </c>
      <c r="AB6" s="59">
        <v>16</v>
      </c>
      <c r="AC6" s="59">
        <v>0</v>
      </c>
      <c r="AD6" s="59">
        <v>0</v>
      </c>
      <c r="AI6" s="408">
        <v>98</v>
      </c>
    </row>
    <row r="7" spans="2:52" ht="18.75" customHeight="1" x14ac:dyDescent="0.15">
      <c r="B7" s="91" t="s">
        <v>36</v>
      </c>
      <c r="C7" s="69">
        <f>IFERROR(INDEX(退院予定有無×疾患名[#All],MATCH($AI7,退院予定有無×疾患名[[#All],[行ラベル]],0),MATCH($AJ$4,退院予定有無×疾患名[#Headers],0)),0)+IFERROR(INDEX(退院予定有無×疾患名[#All],MATCH($AI7,退院予定有無×疾患名[[#All],[行ラベル]],0),MATCH($AK$4,退院予定有無×疾患名[#Headers],0)),0)</f>
        <v>227</v>
      </c>
      <c r="D7" s="68">
        <f>IFERROR(C7/C$8,"-")</f>
        <v>9.2313948759658399E-2</v>
      </c>
      <c r="E7" s="69">
        <f>IFERROR(INDEX(退院予定有無×疾患名[#All],MATCH($AI7,退院予定有無×疾患名[[#All],[行ラベル]],0),MATCH($AL$4,退院予定有無×疾患名[#Headers],0)),0)</f>
        <v>182</v>
      </c>
      <c r="F7" s="81">
        <f>IFERROR(E7/E$8,"-")</f>
        <v>0.10247747747747747</v>
      </c>
      <c r="G7" s="71">
        <f>IFERROR(INDEX(退院予定有無×疾患名[#All],MATCH($AI7,退院予定有無×疾患名[[#All],[行ラベル]],0),MATCH($AP$4,退院予定有無×疾患名[#Headers],0)),0)</f>
        <v>589</v>
      </c>
      <c r="H7" s="81">
        <f>IFERROR(G7/G$8,"-")</f>
        <v>8.0365670623550281E-2</v>
      </c>
      <c r="I7" s="71">
        <f>IFERROR(INDEX(退院予定有無×疾患名[#All],MATCH($AI7,退院予定有無×疾患名[[#All],[行ラベル]],0),MATCH($AQ$4,退院予定有無×疾患名[#Headers],0)),0)+IFERROR(INDEX(退院予定有無×疾患名[#All],MATCH($AI7,退院予定有無×疾患名[[#All],[行ラベル]],0),MATCH($AR$4,退院予定有無×疾患名[#Headers],0)),0)</f>
        <v>247</v>
      </c>
      <c r="J7" s="81">
        <f>IFERROR(I7/I$8,"-")</f>
        <v>0.16112198303979125</v>
      </c>
      <c r="K7" s="38">
        <f>C7+E7+G7+I7</f>
        <v>1245</v>
      </c>
      <c r="L7" s="33">
        <v>99</v>
      </c>
      <c r="M7" s="59">
        <v>194</v>
      </c>
      <c r="N7" s="59">
        <v>33</v>
      </c>
      <c r="O7" s="65">
        <v>182</v>
      </c>
      <c r="P7" s="59">
        <v>142</v>
      </c>
      <c r="Q7" s="59">
        <v>4</v>
      </c>
      <c r="R7" s="59">
        <v>14</v>
      </c>
      <c r="S7" s="59">
        <v>589</v>
      </c>
      <c r="T7" s="59">
        <v>112</v>
      </c>
      <c r="U7" s="59">
        <v>135</v>
      </c>
      <c r="V7" s="59">
        <v>85</v>
      </c>
      <c r="W7" s="59">
        <v>4</v>
      </c>
      <c r="X7" s="59">
        <v>14</v>
      </c>
      <c r="Y7" s="59">
        <v>38</v>
      </c>
      <c r="Z7" s="59">
        <v>39</v>
      </c>
      <c r="AA7" s="59">
        <v>12</v>
      </c>
      <c r="AB7" s="59">
        <v>20</v>
      </c>
      <c r="AC7" s="59">
        <v>0</v>
      </c>
      <c r="AD7" s="724">
        <v>1</v>
      </c>
      <c r="AI7" s="408">
        <v>99</v>
      </c>
    </row>
    <row r="8" spans="2:52" ht="18.75" customHeight="1" x14ac:dyDescent="0.15">
      <c r="B8" s="92" t="s">
        <v>161</v>
      </c>
      <c r="C8" s="93">
        <f t="shared" ref="C8:J8" si="0">SUM(C5:C7)</f>
        <v>2459</v>
      </c>
      <c r="D8" s="94">
        <f t="shared" si="0"/>
        <v>0.99999999999999989</v>
      </c>
      <c r="E8" s="95">
        <f t="shared" si="0"/>
        <v>1776</v>
      </c>
      <c r="F8" s="94">
        <f t="shared" si="0"/>
        <v>1</v>
      </c>
      <c r="G8" s="95">
        <f t="shared" si="0"/>
        <v>7329</v>
      </c>
      <c r="H8" s="94">
        <f t="shared" si="0"/>
        <v>1</v>
      </c>
      <c r="I8" s="95">
        <f t="shared" si="0"/>
        <v>1533</v>
      </c>
      <c r="J8" s="94">
        <f t="shared" si="0"/>
        <v>1</v>
      </c>
      <c r="K8" s="38">
        <f>C8+E8+G8+I8</f>
        <v>13097</v>
      </c>
      <c r="L8" s="33"/>
      <c r="M8" s="42"/>
      <c r="N8" s="42"/>
      <c r="O8" s="42"/>
      <c r="P8" s="42"/>
      <c r="Q8" s="42"/>
      <c r="R8" s="42"/>
      <c r="S8" s="42"/>
      <c r="T8" s="42"/>
      <c r="U8" s="42"/>
      <c r="V8" s="42"/>
      <c r="W8" s="42"/>
      <c r="X8" s="42"/>
      <c r="Y8" s="42"/>
      <c r="Z8" s="42"/>
      <c r="AA8" s="42"/>
      <c r="AB8" s="42"/>
      <c r="AI8" s="408"/>
    </row>
    <row r="9" spans="2:52" ht="18.75" customHeight="1" thickBot="1" x14ac:dyDescent="0.2">
      <c r="B9" s="96"/>
      <c r="C9" s="97"/>
      <c r="D9" s="98"/>
      <c r="E9" s="99"/>
      <c r="F9" s="98"/>
      <c r="G9" s="99"/>
      <c r="H9" s="98"/>
      <c r="I9" s="99"/>
      <c r="J9" s="98"/>
      <c r="K9" s="38"/>
      <c r="L9" s="33"/>
      <c r="M9" s="42"/>
      <c r="N9" s="42"/>
      <c r="O9" s="42"/>
      <c r="P9" s="42"/>
      <c r="Q9" s="42"/>
      <c r="R9" s="42"/>
      <c r="S9" s="42"/>
      <c r="T9" s="42"/>
      <c r="U9" s="42"/>
      <c r="V9" s="42"/>
      <c r="W9" s="42"/>
      <c r="X9" s="42"/>
      <c r="Y9" s="42"/>
      <c r="Z9" s="42"/>
      <c r="AA9" s="42"/>
      <c r="AB9" s="42"/>
      <c r="AI9" s="408"/>
    </row>
    <row r="10" spans="2:52" s="409" customFormat="1" ht="18.75" customHeight="1" thickTop="1" thickBot="1" x14ac:dyDescent="0.2">
      <c r="B10" s="457" t="s">
        <v>242</v>
      </c>
      <c r="C10" s="958"/>
      <c r="D10" s="959"/>
      <c r="E10" s="959"/>
      <c r="F10" s="959"/>
      <c r="G10" s="959"/>
      <c r="H10" s="959"/>
      <c r="I10" s="959"/>
      <c r="J10" s="960"/>
      <c r="K10" s="410"/>
      <c r="L10" s="488" t="s">
        <v>373</v>
      </c>
      <c r="M10" s="86" t="s">
        <v>295</v>
      </c>
      <c r="N10" s="86" t="s">
        <v>284</v>
      </c>
      <c r="O10" s="86" t="s">
        <v>285</v>
      </c>
      <c r="P10" s="86" t="s">
        <v>286</v>
      </c>
      <c r="Q10" s="86" t="s">
        <v>287</v>
      </c>
      <c r="R10" s="86" t="s">
        <v>288</v>
      </c>
      <c r="S10" s="86" t="s">
        <v>289</v>
      </c>
      <c r="T10" s="86" t="s">
        <v>290</v>
      </c>
      <c r="U10" s="86" t="s">
        <v>291</v>
      </c>
      <c r="V10" s="86" t="s">
        <v>296</v>
      </c>
      <c r="W10" s="86" t="s">
        <v>292</v>
      </c>
      <c r="X10" s="86" t="s">
        <v>293</v>
      </c>
      <c r="Y10" s="86" t="s">
        <v>297</v>
      </c>
      <c r="Z10" s="86" t="s">
        <v>200</v>
      </c>
      <c r="AA10" s="86" t="s">
        <v>18</v>
      </c>
      <c r="AB10" s="86" t="s">
        <v>294</v>
      </c>
      <c r="AC10" s="86" t="s">
        <v>201</v>
      </c>
      <c r="AD10" s="86" t="s">
        <v>617</v>
      </c>
      <c r="AI10" s="411"/>
    </row>
    <row r="11" spans="2:52" ht="18.75" customHeight="1" thickTop="1" x14ac:dyDescent="0.15">
      <c r="B11" s="101" t="s">
        <v>34</v>
      </c>
      <c r="C11" s="88">
        <f>IFERROR(INDEX(阻害要因有無×疾患名[#All],MATCH($AI11,阻害要因有無×疾患名[[#All],[行ラベル]],0),MATCH($AJ$4,阻害要因有無×疾患名[#Headers],0)),0)+IFERROR(INDEX(阻害要因有無×疾患名[#All],MATCH($AI11,阻害要因有無×疾患名[[#All],[行ラベル]],0),MATCH($AK$4,阻害要因有無×疾患名[#Headers],0)),0)</f>
        <v>261</v>
      </c>
      <c r="D11" s="89">
        <f>IFERROR(C11/C$5,"-")</f>
        <v>0.9</v>
      </c>
      <c r="E11" s="88">
        <f>IFERROR(INDEX(阻害要因有無×疾患名[#All],MATCH($AI11,阻害要因有無×疾患名[[#All],[行ラベル]],0),MATCH($AL$4,阻害要因有無×疾患名[#Headers],0)),0)</f>
        <v>214</v>
      </c>
      <c r="F11" s="89">
        <f>IFERROR(E11/E$5,"-")</f>
        <v>0.8663967611336032</v>
      </c>
      <c r="G11" s="88">
        <f>IFERROR(INDEX(阻害要因有無×疾患名[#All],MATCH($AI11,阻害要因有無×疾患名[[#All],[行ラベル]],0),MATCH($AP$4,阻害要因有無×疾患名[#Headers],0)),0)</f>
        <v>964</v>
      </c>
      <c r="H11" s="89">
        <f>IFERROR(G11/G$5,"-")</f>
        <v>0.92514395393474091</v>
      </c>
      <c r="I11" s="88">
        <f>IFERROR(INDEX(阻害要因有無×疾患名[#All],MATCH($AI11,阻害要因有無×疾患名[[#All],[行ラベル]],0),MATCH($AQ$4,阻害要因有無×疾患名[#Headers],0)),0)+IFERROR(INDEX(阻害要因有無×疾患名[#All],MATCH($AI11,阻害要因有無×疾患名[[#All],[行ラベル]],0),MATCH($AR$4,阻害要因有無×疾患名[#Headers],0)),0)</f>
        <v>197</v>
      </c>
      <c r="J11" s="89">
        <f>IFERROR(I11/I$5,"-")</f>
        <v>0.79435483870967738</v>
      </c>
      <c r="K11" s="38">
        <f>C11+E11+G11+I11</f>
        <v>1636</v>
      </c>
      <c r="L11" s="33">
        <v>91</v>
      </c>
      <c r="M11" s="59">
        <v>231</v>
      </c>
      <c r="N11" s="59">
        <v>30</v>
      </c>
      <c r="O11" s="65">
        <v>214</v>
      </c>
      <c r="P11" s="59">
        <v>86</v>
      </c>
      <c r="Q11" s="59">
        <v>964</v>
      </c>
      <c r="R11" s="59">
        <v>106</v>
      </c>
      <c r="S11" s="59">
        <v>91</v>
      </c>
      <c r="T11" s="59">
        <v>26</v>
      </c>
      <c r="U11" s="59">
        <v>1</v>
      </c>
      <c r="V11" s="59">
        <v>5</v>
      </c>
      <c r="W11" s="59">
        <v>26</v>
      </c>
      <c r="X11" s="59">
        <v>14</v>
      </c>
      <c r="Y11" s="59">
        <v>4</v>
      </c>
      <c r="Z11" s="59">
        <v>5</v>
      </c>
      <c r="AA11" s="59">
        <v>15</v>
      </c>
      <c r="AB11" s="59">
        <v>6</v>
      </c>
      <c r="AC11" s="59">
        <v>5</v>
      </c>
      <c r="AD11" s="723">
        <v>0</v>
      </c>
      <c r="AI11" s="408">
        <v>91</v>
      </c>
    </row>
    <row r="12" spans="2:52" ht="18.75" customHeight="1" x14ac:dyDescent="0.15">
      <c r="B12" s="91" t="s">
        <v>35</v>
      </c>
      <c r="C12" s="69">
        <f>IFERROR(INDEX(阻害要因有無×疾患名[#All],MATCH($AI12,阻害要因有無×疾患名[[#All],[行ラベル]],0),MATCH($AJ$4,阻害要因有無×疾患名[#Headers],0)),0)+IFERROR(INDEX(阻害要因有無×疾患名[#All],MATCH($AI12,阻害要因有無×疾患名[[#All],[行ラベル]],0),MATCH($AK$4,阻害要因有無×疾患名[#Headers],0)),0)</f>
        <v>29</v>
      </c>
      <c r="D12" s="68">
        <f>IFERROR(C12/C$5,"-")</f>
        <v>0.1</v>
      </c>
      <c r="E12" s="69">
        <f>IFERROR(INDEX(阻害要因有無×疾患名[#All],MATCH($AI12,阻害要因有無×疾患名[[#All],[行ラベル]],0),MATCH($AL$4,阻害要因有無×疾患名[#Headers],0)),0)</f>
        <v>33</v>
      </c>
      <c r="F12" s="68">
        <f>IFERROR(E12/E$5,"-")</f>
        <v>0.13360323886639677</v>
      </c>
      <c r="G12" s="69">
        <f>IFERROR(INDEX(阻害要因有無×疾患名[#All],MATCH($AI12,阻害要因有無×疾患名[[#All],[行ラベル]],0),MATCH($AP$4,阻害要因有無×疾患名[#Headers],0)),0)</f>
        <v>78</v>
      </c>
      <c r="H12" s="68">
        <f>IFERROR(G12/G$5,"-")</f>
        <v>7.4856046065259113E-2</v>
      </c>
      <c r="I12" s="69">
        <f>IFERROR(INDEX(阻害要因有無×疾患名[#All],MATCH($AI12,阻害要因有無×疾患名[[#All],[行ラベル]],0),MATCH($AQ$4,阻害要因有無×疾患名[#Headers],0)),0)+IFERROR(INDEX(阻害要因有無×疾患名[#All],MATCH($AI12,阻害要因有無×疾患名[[#All],[行ラベル]],0),MATCH($AR$4,阻害要因有無×疾患名[#Headers],0)),0)</f>
        <v>51</v>
      </c>
      <c r="J12" s="68">
        <f>IFERROR(I12/I$5,"-")</f>
        <v>0.20564516129032259</v>
      </c>
      <c r="K12" s="38">
        <f>C12+E12+G12+I12</f>
        <v>191</v>
      </c>
      <c r="L12" s="33">
        <v>90</v>
      </c>
      <c r="M12" s="59">
        <v>24</v>
      </c>
      <c r="N12" s="59">
        <v>5</v>
      </c>
      <c r="O12" s="65">
        <v>33</v>
      </c>
      <c r="P12" s="59">
        <v>35</v>
      </c>
      <c r="Q12" s="59">
        <v>78</v>
      </c>
      <c r="R12" s="59">
        <v>25</v>
      </c>
      <c r="S12" s="59">
        <v>26</v>
      </c>
      <c r="T12" s="59">
        <v>10</v>
      </c>
      <c r="U12" s="59">
        <v>0</v>
      </c>
      <c r="V12" s="59">
        <v>2</v>
      </c>
      <c r="W12" s="59">
        <v>3</v>
      </c>
      <c r="X12" s="59">
        <v>0</v>
      </c>
      <c r="Y12" s="59">
        <v>1</v>
      </c>
      <c r="Z12" s="59">
        <v>1</v>
      </c>
      <c r="AA12" s="59">
        <v>1</v>
      </c>
      <c r="AB12" s="59">
        <v>0</v>
      </c>
      <c r="AC12" s="59">
        <v>2</v>
      </c>
      <c r="AD12" s="724">
        <v>0</v>
      </c>
      <c r="AI12" s="408">
        <v>90</v>
      </c>
    </row>
    <row r="13" spans="2:52" ht="19.5" customHeight="1" thickBot="1" x14ac:dyDescent="0.2">
      <c r="B13" s="102" t="s">
        <v>264</v>
      </c>
      <c r="C13" s="935"/>
      <c r="D13" s="936"/>
      <c r="E13" s="936"/>
      <c r="F13" s="936"/>
      <c r="G13" s="936"/>
      <c r="H13" s="936"/>
      <c r="I13" s="936"/>
      <c r="J13" s="937"/>
      <c r="K13" s="38"/>
    </row>
    <row r="14" spans="2:52" ht="19.5" customHeight="1" thickTop="1" thickBot="1" x14ac:dyDescent="0.2">
      <c r="B14" s="938" t="s">
        <v>274</v>
      </c>
      <c r="C14" s="939"/>
      <c r="D14" s="939"/>
      <c r="E14" s="939"/>
      <c r="F14" s="939"/>
      <c r="G14" s="939"/>
      <c r="H14" s="939"/>
      <c r="I14" s="939"/>
      <c r="J14" s="940"/>
      <c r="K14" s="38"/>
      <c r="L14" s="488" t="s">
        <v>619</v>
      </c>
      <c r="M14" s="86" t="s">
        <v>385</v>
      </c>
      <c r="N14" s="86" t="s">
        <v>287</v>
      </c>
      <c r="O14" s="86" t="s">
        <v>288</v>
      </c>
      <c r="P14" s="86" t="s">
        <v>286</v>
      </c>
      <c r="Q14" s="86" t="s">
        <v>289</v>
      </c>
      <c r="R14" s="86" t="s">
        <v>285</v>
      </c>
      <c r="S14" s="86" t="s">
        <v>295</v>
      </c>
      <c r="T14" s="86" t="s">
        <v>284</v>
      </c>
      <c r="U14" s="86" t="s">
        <v>18</v>
      </c>
      <c r="V14" s="86" t="s">
        <v>292</v>
      </c>
      <c r="W14" s="86" t="s">
        <v>290</v>
      </c>
      <c r="X14" s="86" t="s">
        <v>296</v>
      </c>
      <c r="Y14" s="86" t="s">
        <v>200</v>
      </c>
      <c r="Z14" s="86" t="s">
        <v>294</v>
      </c>
      <c r="AA14" s="86" t="s">
        <v>293</v>
      </c>
      <c r="AB14" s="86" t="s">
        <v>201</v>
      </c>
      <c r="AC14" s="86" t="s">
        <v>297</v>
      </c>
      <c r="AD14" s="53" t="s">
        <v>291</v>
      </c>
    </row>
    <row r="15" spans="2:52" ht="37.5" customHeight="1" thickTop="1" x14ac:dyDescent="0.15">
      <c r="B15" s="103" t="s">
        <v>235</v>
      </c>
      <c r="C15" s="62">
        <f>IFERROR(INDEX(阻害要因×疾患名[#All],MATCH($AI15,阻害要因×疾患名[[#All],[値]],0),MATCH($AJ$4,阻害要因×疾患名[#Headers],0)),0)+IFERROR(INDEX(阻害要因×疾患名[#All],MATCH($AI15,阻害要因×疾患名[[#All],[値]],0),MATCH($AK$4,阻害要因×疾患名[#Headers],0)),0)</f>
        <v>80</v>
      </c>
      <c r="D15" s="63">
        <f t="shared" ref="D15:D31" si="1">IFERROR(C15/C$11,"-")</f>
        <v>0.3065134099616858</v>
      </c>
      <c r="E15" s="64">
        <f>IFERROR(INDEX(阻害要因×疾患名[#All],MATCH($AI15,阻害要因×疾患名[[#All],[値]],0),MATCH($AL$4,阻害要因×疾患名[#Headers],0)),0)</f>
        <v>63</v>
      </c>
      <c r="F15" s="63">
        <f t="shared" ref="F15:F31" si="2">IFERROR(E15/E$11,"-")</f>
        <v>0.29439252336448596</v>
      </c>
      <c r="G15" s="64">
        <f>IFERROR(INDEX(阻害要因×疾患名[#All],MATCH($AI15,阻害要因×疾患名[[#All],[値]],0),MATCH($AP$4,阻害要因×疾患名[#Headers],0)),0)</f>
        <v>392</v>
      </c>
      <c r="H15" s="63">
        <f t="shared" ref="H15:H31" si="3">IFERROR(G15/G$11,"-")</f>
        <v>0.40663900414937759</v>
      </c>
      <c r="I15" s="64">
        <f>IFERROR(INDEX(阻害要因×疾患名[#All],MATCH($AI15,阻害要因×疾患名[[#All],[値]],0),MATCH($AQ$4,阻害要因×疾患名[#Headers],0)),0)+IFERROR(INDEX(阻害要因×疾患名[#All],MATCH($AI15,阻害要因×疾患名[[#All],[値]],0),MATCH($AR$4,阻害要因×疾患名[#Headers],0)),0)</f>
        <v>77</v>
      </c>
      <c r="J15" s="63">
        <f t="shared" ref="J15:J31" si="4">IFERROR(I15/I$11,"-")</f>
        <v>0.39086294416243655</v>
      </c>
      <c r="K15" s="38">
        <f>C15+E15+G15+I15</f>
        <v>612</v>
      </c>
      <c r="L15" s="33" t="s">
        <v>309</v>
      </c>
      <c r="M15" s="59"/>
      <c r="N15" s="65">
        <v>392</v>
      </c>
      <c r="O15" s="65">
        <v>38</v>
      </c>
      <c r="P15" s="59">
        <v>18</v>
      </c>
      <c r="Q15" s="59">
        <v>39</v>
      </c>
      <c r="R15" s="59">
        <v>63</v>
      </c>
      <c r="S15" s="59">
        <v>72</v>
      </c>
      <c r="T15" s="59">
        <v>8</v>
      </c>
      <c r="U15" s="59">
        <v>2</v>
      </c>
      <c r="V15" s="59">
        <v>11</v>
      </c>
      <c r="W15" s="59">
        <v>14</v>
      </c>
      <c r="X15" s="59">
        <v>1</v>
      </c>
      <c r="Y15" s="59">
        <v>1</v>
      </c>
      <c r="Z15" s="59">
        <v>1</v>
      </c>
      <c r="AA15" s="59">
        <v>7</v>
      </c>
      <c r="AB15" s="59">
        <v>2</v>
      </c>
      <c r="AC15" s="59">
        <v>1</v>
      </c>
      <c r="AD15" s="723">
        <v>0</v>
      </c>
      <c r="AI15" s="55" t="s">
        <v>309</v>
      </c>
    </row>
    <row r="16" spans="2:52" ht="18.75" customHeight="1" x14ac:dyDescent="0.15">
      <c r="B16" s="104" t="s">
        <v>66</v>
      </c>
      <c r="C16" s="67">
        <f>IFERROR(INDEX(阻害要因×疾患名[#All],MATCH($AI16,阻害要因×疾患名[[#All],[値]],0),MATCH($AJ$4,阻害要因×疾患名[#Headers],0)),0)+IFERROR(INDEX(阻害要因×疾患名[#All],MATCH($AI16,阻害要因×疾患名[[#All],[値]],0),MATCH($AK$4,阻害要因×疾患名[#Headers],0)),0)</f>
        <v>88</v>
      </c>
      <c r="D16" s="72">
        <f t="shared" si="1"/>
        <v>0.33716475095785442</v>
      </c>
      <c r="E16" s="70">
        <f>IFERROR(INDEX(阻害要因×疾患名[#All],MATCH($AI16,阻害要因×疾患名[[#All],[値]],0),MATCH($AL$4,阻害要因×疾患名[#Headers],0)),0)</f>
        <v>57</v>
      </c>
      <c r="F16" s="72">
        <f t="shared" si="2"/>
        <v>0.26635514018691586</v>
      </c>
      <c r="G16" s="69">
        <f>IFERROR(INDEX(阻害要因×疾患名[#All],MATCH($AI16,阻害要因×疾患名[[#All],[値]],0),MATCH($AP$4,阻害要因×疾患名[#Headers],0)),0)</f>
        <v>341</v>
      </c>
      <c r="H16" s="72">
        <f t="shared" si="3"/>
        <v>0.35373443983402492</v>
      </c>
      <c r="I16" s="69">
        <f>IFERROR(INDEX(阻害要因×疾患名[#All],MATCH($AI16,阻害要因×疾患名[[#All],[値]],0),MATCH($AQ$4,阻害要因×疾患名[#Headers],0)),0)+IFERROR(INDEX(阻害要因×疾患名[#All],MATCH($AI16,阻害要因×疾患名[[#All],[値]],0),MATCH($AR$4,阻害要因×疾患名[#Headers],0)),0)</f>
        <v>34</v>
      </c>
      <c r="J16" s="72">
        <f t="shared" si="4"/>
        <v>0.17258883248730963</v>
      </c>
      <c r="K16" s="38">
        <f t="shared" ref="K16:K34" si="5">C16+E16+G16+I16</f>
        <v>520</v>
      </c>
      <c r="L16" s="55" t="s">
        <v>310</v>
      </c>
      <c r="M16" s="65"/>
      <c r="N16" s="65">
        <v>341</v>
      </c>
      <c r="O16" s="65">
        <v>21</v>
      </c>
      <c r="P16" s="59">
        <v>23</v>
      </c>
      <c r="Q16" s="59">
        <v>13</v>
      </c>
      <c r="R16" s="59">
        <v>57</v>
      </c>
      <c r="S16" s="59">
        <v>82</v>
      </c>
      <c r="T16" s="59">
        <v>6</v>
      </c>
      <c r="U16" s="59">
        <v>3</v>
      </c>
      <c r="V16" s="59">
        <v>8</v>
      </c>
      <c r="W16" s="59">
        <v>6</v>
      </c>
      <c r="X16" s="59">
        <v>0</v>
      </c>
      <c r="Y16" s="59">
        <v>3</v>
      </c>
      <c r="Z16" s="59">
        <v>1</v>
      </c>
      <c r="AA16" s="59">
        <v>5</v>
      </c>
      <c r="AB16" s="59">
        <v>1</v>
      </c>
      <c r="AC16" s="59">
        <v>0</v>
      </c>
      <c r="AD16" s="59">
        <v>0</v>
      </c>
      <c r="AI16" s="55" t="s">
        <v>310</v>
      </c>
    </row>
    <row r="17" spans="2:35" ht="18.75" customHeight="1" x14ac:dyDescent="0.15">
      <c r="B17" s="104" t="s">
        <v>38</v>
      </c>
      <c r="C17" s="67">
        <f>IFERROR(INDEX(阻害要因×疾患名[#All],MATCH($AI17,阻害要因×疾患名[[#All],[値]],0),MATCH($AJ$4,阻害要因×疾患名[#Headers],0)),0)+IFERROR(INDEX(阻害要因×疾患名[#All],MATCH($AI17,阻害要因×疾患名[[#All],[値]],0),MATCH($AK$4,阻害要因×疾患名[#Headers],0)),0)</f>
        <v>8</v>
      </c>
      <c r="D17" s="72">
        <f t="shared" si="1"/>
        <v>3.0651340996168581E-2</v>
      </c>
      <c r="E17" s="69">
        <f>IFERROR(INDEX(阻害要因×疾患名[#All],MATCH($AI17,阻害要因×疾患名[[#All],[値]],0),MATCH($AL$4,阻害要因×疾患名[#Headers],0)),0)</f>
        <v>10</v>
      </c>
      <c r="F17" s="72">
        <f t="shared" si="2"/>
        <v>4.6728971962616821E-2</v>
      </c>
      <c r="G17" s="69">
        <f>IFERROR(INDEX(阻害要因×疾患名[#All],MATCH($AI17,阻害要因×疾患名[[#All],[値]],0),MATCH($AP$4,阻害要因×疾患名[#Headers],0)),0)</f>
        <v>49</v>
      </c>
      <c r="H17" s="72">
        <f t="shared" si="3"/>
        <v>5.0829875518672199E-2</v>
      </c>
      <c r="I17" s="69">
        <f>IFERROR(INDEX(阻害要因×疾患名[#All],MATCH($AI17,阻害要因×疾患名[[#All],[値]],0),MATCH($AQ$4,阻害要因×疾患名[#Headers],0)),0)+IFERROR(INDEX(阻害要因×疾患名[#All],MATCH($AI17,阻害要因×疾患名[[#All],[値]],0),MATCH($AR$4,阻害要因×疾患名[#Headers],0)),0)</f>
        <v>10</v>
      </c>
      <c r="J17" s="72">
        <f t="shared" si="4"/>
        <v>5.0761421319796954E-2</v>
      </c>
      <c r="K17" s="38">
        <f t="shared" si="5"/>
        <v>77</v>
      </c>
      <c r="L17" s="55" t="s">
        <v>166</v>
      </c>
      <c r="M17" s="65"/>
      <c r="N17" s="65">
        <v>49</v>
      </c>
      <c r="O17" s="65">
        <v>7</v>
      </c>
      <c r="P17" s="59">
        <v>3</v>
      </c>
      <c r="Q17" s="59">
        <v>3</v>
      </c>
      <c r="R17" s="59">
        <v>10</v>
      </c>
      <c r="S17" s="59">
        <v>8</v>
      </c>
      <c r="T17" s="59">
        <v>0</v>
      </c>
      <c r="U17" s="59">
        <v>0</v>
      </c>
      <c r="V17" s="59">
        <v>6</v>
      </c>
      <c r="W17" s="59">
        <v>1</v>
      </c>
      <c r="X17" s="59">
        <v>1</v>
      </c>
      <c r="Y17" s="59">
        <v>0</v>
      </c>
      <c r="Z17" s="59">
        <v>0</v>
      </c>
      <c r="AA17" s="59">
        <v>1</v>
      </c>
      <c r="AB17" s="59">
        <v>2</v>
      </c>
      <c r="AC17" s="59">
        <v>0</v>
      </c>
      <c r="AD17" s="59">
        <v>0</v>
      </c>
      <c r="AI17" s="55" t="s">
        <v>166</v>
      </c>
    </row>
    <row r="18" spans="2:35" ht="18.75" customHeight="1" x14ac:dyDescent="0.15">
      <c r="B18" s="104" t="s">
        <v>39</v>
      </c>
      <c r="C18" s="69">
        <f>IFERROR(INDEX(阻害要因×疾患名[#All],MATCH($AI18,阻害要因×疾患名[[#All],[値]],0),MATCH($AJ$4,阻害要因×疾患名[#Headers],0)),0)+IFERROR(INDEX(阻害要因×疾患名[#All],MATCH($AI18,阻害要因×疾患名[[#All],[値]],0),MATCH($AK$4,阻害要因×疾患名[#Headers],0)),0)</f>
        <v>66</v>
      </c>
      <c r="D18" s="68">
        <f t="shared" si="1"/>
        <v>0.25287356321839083</v>
      </c>
      <c r="E18" s="69">
        <f>IFERROR(INDEX(阻害要因×疾患名[#All],MATCH($AI18,阻害要因×疾患名[[#All],[値]],0),MATCH($AL$4,阻害要因×疾患名[#Headers],0)),0)</f>
        <v>68</v>
      </c>
      <c r="F18" s="68">
        <f t="shared" si="2"/>
        <v>0.31775700934579437</v>
      </c>
      <c r="G18" s="69">
        <f>IFERROR(INDEX(阻害要因×疾患名[#All],MATCH($AI18,阻害要因×疾患名[[#All],[値]],0),MATCH($AP$4,阻害要因×疾患名[#Headers],0)),0)</f>
        <v>404</v>
      </c>
      <c r="H18" s="68">
        <f t="shared" si="3"/>
        <v>0.41908713692946059</v>
      </c>
      <c r="I18" s="69">
        <f>IFERROR(INDEX(阻害要因×疾患名[#All],MATCH($AI18,阻害要因×疾患名[[#All],[値]],0),MATCH($AQ$4,阻害要因×疾患名[#Headers],0)),0)+IFERROR(INDEX(阻害要因×疾患名[#All],MATCH($AI18,阻害要因×疾患名[[#All],[値]],0),MATCH($AR$4,阻害要因×疾患名[#Headers],0)),0)</f>
        <v>79</v>
      </c>
      <c r="J18" s="68">
        <f t="shared" si="4"/>
        <v>0.40101522842639592</v>
      </c>
      <c r="K18" s="38">
        <f t="shared" si="5"/>
        <v>617</v>
      </c>
      <c r="L18" s="55" t="s">
        <v>167</v>
      </c>
      <c r="M18" s="65"/>
      <c r="N18" s="65">
        <v>404</v>
      </c>
      <c r="O18" s="65">
        <v>48</v>
      </c>
      <c r="P18" s="59">
        <v>23</v>
      </c>
      <c r="Q18" s="59">
        <v>31</v>
      </c>
      <c r="R18" s="59">
        <v>68</v>
      </c>
      <c r="S18" s="59">
        <v>57</v>
      </c>
      <c r="T18" s="59">
        <v>9</v>
      </c>
      <c r="U18" s="59">
        <v>5</v>
      </c>
      <c r="V18" s="59">
        <v>4</v>
      </c>
      <c r="W18" s="59">
        <v>15</v>
      </c>
      <c r="X18" s="59">
        <v>1</v>
      </c>
      <c r="Y18" s="59">
        <v>4</v>
      </c>
      <c r="Z18" s="59">
        <v>2</v>
      </c>
      <c r="AA18" s="59">
        <v>4</v>
      </c>
      <c r="AB18" s="59">
        <v>1</v>
      </c>
      <c r="AC18" s="59">
        <v>1</v>
      </c>
      <c r="AD18" s="59">
        <v>0</v>
      </c>
      <c r="AI18" s="55" t="s">
        <v>167</v>
      </c>
    </row>
    <row r="19" spans="2:35" ht="18.75" customHeight="1" x14ac:dyDescent="0.15">
      <c r="B19" s="104" t="s">
        <v>40</v>
      </c>
      <c r="C19" s="69">
        <f>IFERROR(INDEX(阻害要因×疾患名[#All],MATCH($AI19,阻害要因×疾患名[[#All],[値]],0),MATCH($AJ$4,阻害要因×疾患名[#Headers],0)),0)+IFERROR(INDEX(阻害要因×疾患名[#All],MATCH($AI19,阻害要因×疾患名[[#All],[値]],0),MATCH($AK$4,阻害要因×疾患名[#Headers],0)),0)</f>
        <v>126</v>
      </c>
      <c r="D19" s="68">
        <f t="shared" si="1"/>
        <v>0.48275862068965519</v>
      </c>
      <c r="E19" s="69">
        <f>IFERROR(INDEX(阻害要因×疾患名[#All],MATCH($AI19,阻害要因×疾患名[[#All],[値]],0),MATCH($AL$4,阻害要因×疾患名[#Headers],0)),0)</f>
        <v>86</v>
      </c>
      <c r="F19" s="68">
        <f t="shared" si="2"/>
        <v>0.40186915887850466</v>
      </c>
      <c r="G19" s="69">
        <f>IFERROR(INDEX(阻害要因×疾患名[#All],MATCH($AI19,阻害要因×疾患名[[#All],[値]],0),MATCH($AP$4,阻害要因×疾患名[#Headers],0)),0)</f>
        <v>471</v>
      </c>
      <c r="H19" s="68">
        <f t="shared" si="3"/>
        <v>0.48858921161825725</v>
      </c>
      <c r="I19" s="69">
        <f>IFERROR(INDEX(阻害要因×疾患名[#All],MATCH($AI19,阻害要因×疾患名[[#All],[値]],0),MATCH($AQ$4,阻害要因×疾患名[#Headers],0)),0)+IFERROR(INDEX(阻害要因×疾患名[#All],MATCH($AI19,阻害要因×疾患名[[#All],[値]],0),MATCH($AR$4,阻害要因×疾患名[#Headers],0)),0)</f>
        <v>56</v>
      </c>
      <c r="J19" s="68">
        <f t="shared" si="4"/>
        <v>0.28426395939086296</v>
      </c>
      <c r="K19" s="38">
        <f t="shared" si="5"/>
        <v>739</v>
      </c>
      <c r="L19" s="55" t="s">
        <v>168</v>
      </c>
      <c r="M19" s="65"/>
      <c r="N19" s="65">
        <v>471</v>
      </c>
      <c r="O19" s="65">
        <v>33</v>
      </c>
      <c r="P19" s="59">
        <v>26</v>
      </c>
      <c r="Q19" s="59">
        <v>23</v>
      </c>
      <c r="R19" s="59">
        <v>86</v>
      </c>
      <c r="S19" s="59">
        <v>113</v>
      </c>
      <c r="T19" s="59">
        <v>13</v>
      </c>
      <c r="U19" s="59">
        <v>6</v>
      </c>
      <c r="V19" s="59">
        <v>12</v>
      </c>
      <c r="W19" s="59">
        <v>6</v>
      </c>
      <c r="X19" s="59">
        <v>2</v>
      </c>
      <c r="Y19" s="59">
        <v>2</v>
      </c>
      <c r="Z19" s="59">
        <v>1</v>
      </c>
      <c r="AA19" s="59">
        <v>7</v>
      </c>
      <c r="AB19" s="59">
        <v>2</v>
      </c>
      <c r="AC19" s="59">
        <v>3</v>
      </c>
      <c r="AD19" s="59">
        <v>0</v>
      </c>
      <c r="AI19" s="55" t="s">
        <v>168</v>
      </c>
    </row>
    <row r="20" spans="2:35" ht="18.75" customHeight="1" x14ac:dyDescent="0.15">
      <c r="B20" s="104" t="s">
        <v>41</v>
      </c>
      <c r="C20" s="71">
        <f>IFERROR(INDEX(阻害要因×疾患名[#All],MATCH($AI20,阻害要因×疾患名[[#All],[値]],0),MATCH($AJ$4,阻害要因×疾患名[#Headers],0)),0)+IFERROR(INDEX(阻害要因×疾患名[#All],MATCH($AI20,阻害要因×疾患名[[#All],[値]],0),MATCH($AK$4,阻害要因×疾患名[#Headers],0)),0)</f>
        <v>34</v>
      </c>
      <c r="D20" s="81">
        <f t="shared" si="1"/>
        <v>0.13026819923371646</v>
      </c>
      <c r="E20" s="71">
        <f>IFERROR(INDEX(阻害要因×疾患名[#All],MATCH($AI20,阻害要因×疾患名[[#All],[値]],0),MATCH($AL$4,阻害要因×疾患名[#Headers],0)),0)</f>
        <v>49</v>
      </c>
      <c r="F20" s="81">
        <f t="shared" si="2"/>
        <v>0.22897196261682243</v>
      </c>
      <c r="G20" s="71">
        <f>IFERROR(INDEX(阻害要因×疾患名[#All],MATCH($AI20,阻害要因×疾患名[[#All],[値]],0),MATCH($AP$4,阻害要因×疾患名[#Headers],0)),0)</f>
        <v>290</v>
      </c>
      <c r="H20" s="81">
        <f t="shared" si="3"/>
        <v>0.30082987551867219</v>
      </c>
      <c r="I20" s="71">
        <f>IFERROR(INDEX(阻害要因×疾患名[#All],MATCH($AI20,阻害要因×疾患名[[#All],[値]],0),MATCH($AQ$4,阻害要因×疾患名[#Headers],0)),0)+IFERROR(INDEX(阻害要因×疾患名[#All],MATCH($AI20,阻害要因×疾患名[[#All],[値]],0),MATCH($AR$4,阻害要因×疾患名[#Headers],0)),0)</f>
        <v>82</v>
      </c>
      <c r="J20" s="81">
        <f t="shared" si="4"/>
        <v>0.41624365482233505</v>
      </c>
      <c r="K20" s="38">
        <f t="shared" si="5"/>
        <v>455</v>
      </c>
      <c r="L20" s="55" t="s">
        <v>169</v>
      </c>
      <c r="M20" s="65"/>
      <c r="N20" s="65">
        <v>290</v>
      </c>
      <c r="O20" s="65">
        <v>47</v>
      </c>
      <c r="P20" s="59">
        <v>17</v>
      </c>
      <c r="Q20" s="59">
        <v>35</v>
      </c>
      <c r="R20" s="59">
        <v>49</v>
      </c>
      <c r="S20" s="59">
        <v>30</v>
      </c>
      <c r="T20" s="59">
        <v>4</v>
      </c>
      <c r="U20" s="59">
        <v>6</v>
      </c>
      <c r="V20" s="59">
        <v>6</v>
      </c>
      <c r="W20" s="59">
        <v>12</v>
      </c>
      <c r="X20" s="59">
        <v>1</v>
      </c>
      <c r="Y20" s="59">
        <v>2</v>
      </c>
      <c r="Z20" s="59">
        <v>3</v>
      </c>
      <c r="AA20" s="59">
        <v>5</v>
      </c>
      <c r="AB20" s="59">
        <v>1</v>
      </c>
      <c r="AC20" s="59">
        <v>0</v>
      </c>
      <c r="AD20" s="59">
        <v>1</v>
      </c>
      <c r="AI20" s="55" t="s">
        <v>169</v>
      </c>
    </row>
    <row r="21" spans="2:35" ht="18.75" customHeight="1" x14ac:dyDescent="0.15">
      <c r="B21" s="104" t="s">
        <v>42</v>
      </c>
      <c r="C21" s="69">
        <f>IFERROR(INDEX(阻害要因×疾患名[#All],MATCH($AI21,阻害要因×疾患名[[#All],[値]],0),MATCH($AJ$4,阻害要因×疾患名[#Headers],0)),0)+IFERROR(INDEX(阻害要因×疾患名[#All],MATCH($AI21,阻害要因×疾患名[[#All],[値]],0),MATCH($AK$4,阻害要因×疾患名[#Headers],0)),0)</f>
        <v>11</v>
      </c>
      <c r="D21" s="68">
        <f t="shared" si="1"/>
        <v>4.2145593869731802E-2</v>
      </c>
      <c r="E21" s="69">
        <f>IFERROR(INDEX(阻害要因×疾患名[#All],MATCH($AI21,阻害要因×疾患名[[#All],[値]],0),MATCH($AL$4,阻害要因×疾患名[#Headers],0)),0)</f>
        <v>13</v>
      </c>
      <c r="F21" s="68">
        <f t="shared" si="2"/>
        <v>6.0747663551401869E-2</v>
      </c>
      <c r="G21" s="69">
        <f>IFERROR(INDEX(阻害要因×疾患名[#All],MATCH($AI21,阻害要因×疾患名[[#All],[値]],0),MATCH($AP$4,阻害要因×疾患名[#Headers],0)),0)</f>
        <v>105</v>
      </c>
      <c r="H21" s="68">
        <f t="shared" si="3"/>
        <v>0.10892116182572614</v>
      </c>
      <c r="I21" s="69">
        <f>IFERROR(INDEX(阻害要因×疾患名[#All],MATCH($AI21,阻害要因×疾患名[[#All],[値]],0),MATCH($AQ$4,阻害要因×疾患名[#Headers],0)),0)+IFERROR(INDEX(阻害要因×疾患名[#All],MATCH($AI21,阻害要因×疾患名[[#All],[値]],0),MATCH($AR$4,阻害要因×疾患名[#Headers],0)),0)</f>
        <v>17</v>
      </c>
      <c r="J21" s="68">
        <f t="shared" si="4"/>
        <v>8.6294416243654817E-2</v>
      </c>
      <c r="K21" s="38">
        <f t="shared" si="5"/>
        <v>146</v>
      </c>
      <c r="L21" s="55" t="s">
        <v>170</v>
      </c>
      <c r="M21" s="65"/>
      <c r="N21" s="65">
        <v>105</v>
      </c>
      <c r="O21" s="65">
        <v>9</v>
      </c>
      <c r="P21" s="59">
        <v>4</v>
      </c>
      <c r="Q21" s="59">
        <v>8</v>
      </c>
      <c r="R21" s="59">
        <v>13</v>
      </c>
      <c r="S21" s="59">
        <v>11</v>
      </c>
      <c r="T21" s="59">
        <v>0</v>
      </c>
      <c r="U21" s="59">
        <v>2</v>
      </c>
      <c r="V21" s="59">
        <v>5</v>
      </c>
      <c r="W21" s="59">
        <v>1</v>
      </c>
      <c r="X21" s="59">
        <v>1</v>
      </c>
      <c r="Y21" s="59">
        <v>1</v>
      </c>
      <c r="Z21" s="59">
        <v>0</v>
      </c>
      <c r="AA21" s="59">
        <v>4</v>
      </c>
      <c r="AB21" s="59">
        <v>0</v>
      </c>
      <c r="AC21" s="59">
        <v>0</v>
      </c>
      <c r="AD21" s="59">
        <v>0</v>
      </c>
      <c r="AI21" s="55" t="s">
        <v>170</v>
      </c>
    </row>
    <row r="22" spans="2:35" ht="18.75" customHeight="1" x14ac:dyDescent="0.15">
      <c r="B22" s="104" t="s">
        <v>43</v>
      </c>
      <c r="C22" s="69">
        <f>IFERROR(INDEX(阻害要因×疾患名[#All],MATCH($AI22,阻害要因×疾患名[[#All],[値]],0),MATCH($AJ$4,阻害要因×疾患名[#Headers],0)),0)+IFERROR(INDEX(阻害要因×疾患名[#All],MATCH($AI22,阻害要因×疾患名[[#All],[値]],0),MATCH($AK$4,阻害要因×疾患名[#Headers],0)),0)</f>
        <v>122</v>
      </c>
      <c r="D22" s="68">
        <f t="shared" si="1"/>
        <v>0.46743295019157088</v>
      </c>
      <c r="E22" s="69">
        <f>IFERROR(INDEX(阻害要因×疾患名[#All],MATCH($AI22,阻害要因×疾患名[[#All],[値]],0),MATCH($AL$4,阻害要因×疾患名[#Headers],0)),0)</f>
        <v>69</v>
      </c>
      <c r="F22" s="68">
        <f t="shared" si="2"/>
        <v>0.32242990654205606</v>
      </c>
      <c r="G22" s="69">
        <f>IFERROR(INDEX(阻害要因×疾患名[#All],MATCH($AI22,阻害要因×疾患名[[#All],[値]],0),MATCH($AP$4,阻害要因×疾患名[#Headers],0)),0)</f>
        <v>334</v>
      </c>
      <c r="H22" s="68">
        <f t="shared" si="3"/>
        <v>0.34647302904564314</v>
      </c>
      <c r="I22" s="69">
        <f>IFERROR(INDEX(阻害要因×疾患名[#All],MATCH($AI22,阻害要因×疾患名[[#All],[値]],0),MATCH($AQ$4,阻害要因×疾患名[#Headers],0)),0)+IFERROR(INDEX(阻害要因×疾患名[#All],MATCH($AI22,阻害要因×疾患名[[#All],[値]],0),MATCH($AR$4,阻害要因×疾患名[#Headers],0)),0)</f>
        <v>66</v>
      </c>
      <c r="J22" s="68">
        <f t="shared" si="4"/>
        <v>0.3350253807106599</v>
      </c>
      <c r="K22" s="38">
        <f t="shared" si="5"/>
        <v>591</v>
      </c>
      <c r="L22" s="55" t="s">
        <v>171</v>
      </c>
      <c r="M22" s="65"/>
      <c r="N22" s="65">
        <v>334</v>
      </c>
      <c r="O22" s="65">
        <v>39</v>
      </c>
      <c r="P22" s="59">
        <v>20</v>
      </c>
      <c r="Q22" s="59">
        <v>27</v>
      </c>
      <c r="R22" s="59">
        <v>69</v>
      </c>
      <c r="S22" s="59">
        <v>107</v>
      </c>
      <c r="T22" s="59">
        <v>15</v>
      </c>
      <c r="U22" s="59">
        <v>5</v>
      </c>
      <c r="V22" s="59">
        <v>5</v>
      </c>
      <c r="W22" s="59">
        <v>9</v>
      </c>
      <c r="X22" s="59">
        <v>2</v>
      </c>
      <c r="Y22" s="59">
        <v>2</v>
      </c>
      <c r="Z22" s="59">
        <v>2</v>
      </c>
      <c r="AA22" s="59">
        <v>6</v>
      </c>
      <c r="AB22" s="59">
        <v>1</v>
      </c>
      <c r="AC22" s="59">
        <v>0</v>
      </c>
      <c r="AD22" s="59">
        <v>1</v>
      </c>
      <c r="AI22" s="55" t="s">
        <v>171</v>
      </c>
    </row>
    <row r="23" spans="2:35" ht="18.75" customHeight="1" x14ac:dyDescent="0.15">
      <c r="B23" s="104" t="s">
        <v>44</v>
      </c>
      <c r="C23" s="69">
        <f>IFERROR(INDEX(阻害要因×疾患名[#All],MATCH($AI23,阻害要因×疾患名[[#All],[値]],0),MATCH($AJ$4,阻害要因×疾患名[#Headers],0)),0)+IFERROR(INDEX(阻害要因×疾患名[#All],MATCH($AI23,阻害要因×疾患名[[#All],[値]],0),MATCH($AK$4,阻害要因×疾患名[#Headers],0)),0)</f>
        <v>28</v>
      </c>
      <c r="D23" s="68">
        <f t="shared" si="1"/>
        <v>0.10727969348659004</v>
      </c>
      <c r="E23" s="69">
        <f>IFERROR(INDEX(阻害要因×疾患名[#All],MATCH($AI23,阻害要因×疾患名[[#All],[値]],0),MATCH($AL$4,阻害要因×疾患名[#Headers],0)),0)</f>
        <v>21</v>
      </c>
      <c r="F23" s="68">
        <f t="shared" si="2"/>
        <v>9.8130841121495324E-2</v>
      </c>
      <c r="G23" s="69">
        <f>IFERROR(INDEX(阻害要因×疾患名[#All],MATCH($AI23,阻害要因×疾患名[[#All],[値]],0),MATCH($AP$4,阻害要因×疾患名[#Headers],0)),0)</f>
        <v>194</v>
      </c>
      <c r="H23" s="68">
        <f t="shared" si="3"/>
        <v>0.20124481327800831</v>
      </c>
      <c r="I23" s="69">
        <f>IFERROR(INDEX(阻害要因×疾患名[#All],MATCH($AI23,阻害要因×疾患名[[#All],[値]],0),MATCH($AQ$4,阻害要因×疾患名[#Headers],0)),0)+IFERROR(INDEX(阻害要因×疾患名[#All],MATCH($AI23,阻害要因×疾患名[[#All],[値]],0),MATCH($AR$4,阻害要因×疾患名[#Headers],0)),0)</f>
        <v>20</v>
      </c>
      <c r="J23" s="68">
        <f t="shared" si="4"/>
        <v>0.10152284263959391</v>
      </c>
      <c r="K23" s="38">
        <f t="shared" si="5"/>
        <v>263</v>
      </c>
      <c r="L23" s="55" t="s">
        <v>172</v>
      </c>
      <c r="M23" s="65"/>
      <c r="N23" s="65">
        <v>194</v>
      </c>
      <c r="O23" s="65">
        <v>11</v>
      </c>
      <c r="P23" s="59">
        <v>22</v>
      </c>
      <c r="Q23" s="59">
        <v>9</v>
      </c>
      <c r="R23" s="59">
        <v>21</v>
      </c>
      <c r="S23" s="59">
        <v>24</v>
      </c>
      <c r="T23" s="59">
        <v>4</v>
      </c>
      <c r="U23" s="59">
        <v>2</v>
      </c>
      <c r="V23" s="59">
        <v>0</v>
      </c>
      <c r="W23" s="59">
        <v>1</v>
      </c>
      <c r="X23" s="59">
        <v>1</v>
      </c>
      <c r="Y23" s="59">
        <v>0</v>
      </c>
      <c r="Z23" s="59">
        <v>1</v>
      </c>
      <c r="AA23" s="59">
        <v>4</v>
      </c>
      <c r="AB23" s="59">
        <v>1</v>
      </c>
      <c r="AC23" s="59">
        <v>0</v>
      </c>
      <c r="AD23" s="59">
        <v>0</v>
      </c>
      <c r="AI23" s="55" t="s">
        <v>172</v>
      </c>
    </row>
    <row r="24" spans="2:35" ht="18.75" customHeight="1" x14ac:dyDescent="0.15">
      <c r="B24" s="104" t="s">
        <v>246</v>
      </c>
      <c r="C24" s="69">
        <f>IFERROR(INDEX(阻害要因×疾患名[#All],MATCH($AI24,阻害要因×疾患名[[#All],[値]],0),MATCH($AJ$4,阻害要因×疾患名[#Headers],0)),0)+IFERROR(INDEX(阻害要因×疾患名[#All],MATCH($AI24,阻害要因×疾患名[[#All],[値]],0),MATCH($AK$4,阻害要因×疾患名[#Headers],0)),0)</f>
        <v>30</v>
      </c>
      <c r="D24" s="68">
        <f t="shared" si="1"/>
        <v>0.11494252873563218</v>
      </c>
      <c r="E24" s="69">
        <f>IFERROR(INDEX(阻害要因×疾患名[#All],MATCH($AI24,阻害要因×疾患名[[#All],[値]],0),MATCH($AL$4,阻害要因×疾患名[#Headers],0)),0)</f>
        <v>39</v>
      </c>
      <c r="F24" s="68">
        <f t="shared" si="2"/>
        <v>0.1822429906542056</v>
      </c>
      <c r="G24" s="69">
        <f>IFERROR(INDEX(阻害要因×疾患名[#All],MATCH($AI24,阻害要因×疾患名[[#All],[値]],0),MATCH($AP$4,阻害要因×疾患名[#Headers],0)),0)</f>
        <v>201</v>
      </c>
      <c r="H24" s="68">
        <f t="shared" si="3"/>
        <v>0.20850622406639005</v>
      </c>
      <c r="I24" s="69">
        <f>IFERROR(INDEX(阻害要因×疾患名[#All],MATCH($AI24,阻害要因×疾患名[[#All],[値]],0),MATCH($AQ$4,阻害要因×疾患名[#Headers],0)),0)+IFERROR(INDEX(阻害要因×疾患名[#All],MATCH($AI24,阻害要因×疾患名[[#All],[値]],0),MATCH($AR$4,阻害要因×疾患名[#Headers],0)),0)</f>
        <v>33</v>
      </c>
      <c r="J24" s="68">
        <f t="shared" si="4"/>
        <v>0.16751269035532995</v>
      </c>
      <c r="K24" s="38">
        <f t="shared" si="5"/>
        <v>303</v>
      </c>
      <c r="L24" s="55" t="s">
        <v>173</v>
      </c>
      <c r="M24" s="65"/>
      <c r="N24" s="65">
        <v>201</v>
      </c>
      <c r="O24" s="65">
        <v>17</v>
      </c>
      <c r="P24" s="59">
        <v>21</v>
      </c>
      <c r="Q24" s="59">
        <v>16</v>
      </c>
      <c r="R24" s="59">
        <v>39</v>
      </c>
      <c r="S24" s="59">
        <v>28</v>
      </c>
      <c r="T24" s="59">
        <v>2</v>
      </c>
      <c r="U24" s="59">
        <v>3</v>
      </c>
      <c r="V24" s="59">
        <v>5</v>
      </c>
      <c r="W24" s="59">
        <v>3</v>
      </c>
      <c r="X24" s="59">
        <v>0</v>
      </c>
      <c r="Y24" s="59">
        <v>2</v>
      </c>
      <c r="Z24" s="59">
        <v>0</v>
      </c>
      <c r="AA24" s="59">
        <v>2</v>
      </c>
      <c r="AB24" s="59">
        <v>2</v>
      </c>
      <c r="AC24" s="59">
        <v>0</v>
      </c>
      <c r="AD24" s="59">
        <v>1</v>
      </c>
      <c r="AI24" s="55" t="s">
        <v>173</v>
      </c>
    </row>
    <row r="25" spans="2:35" ht="18.75" customHeight="1" x14ac:dyDescent="0.15">
      <c r="B25" s="104" t="s">
        <v>46</v>
      </c>
      <c r="C25" s="105">
        <f>IFERROR(INDEX(阻害要因×疾患名[#All],MATCH($AI25,阻害要因×疾患名[[#All],[値]],0),MATCH($AJ$4,阻害要因×疾患名[#Headers],0)),0)+IFERROR(INDEX(阻害要因×疾患名[#All],MATCH($AI25,阻害要因×疾患名[[#All],[値]],0),MATCH($AK$4,阻害要因×疾患名[#Headers],0)),0)</f>
        <v>107</v>
      </c>
      <c r="D25" s="68">
        <f t="shared" si="1"/>
        <v>0.40996168582375481</v>
      </c>
      <c r="E25" s="69">
        <f>IFERROR(INDEX(阻害要因×疾患名[#All],MATCH($AI25,阻害要因×疾患名[[#All],[値]],0),MATCH($AL$4,阻害要因×疾患名[#Headers],0)),0)</f>
        <v>83</v>
      </c>
      <c r="F25" s="68">
        <f t="shared" si="2"/>
        <v>0.38785046728971961</v>
      </c>
      <c r="G25" s="69">
        <f>IFERROR(INDEX(阻害要因×疾患名[#All],MATCH($AI25,阻害要因×疾患名[[#All],[値]],0),MATCH($AP$4,阻害要因×疾患名[#Headers],0)),0)</f>
        <v>299</v>
      </c>
      <c r="H25" s="68">
        <f t="shared" si="3"/>
        <v>0.31016597510373445</v>
      </c>
      <c r="I25" s="69">
        <f>IFERROR(INDEX(阻害要因×疾患名[#All],MATCH($AI25,阻害要因×疾患名[[#All],[値]],0),MATCH($AQ$4,阻害要因×疾患名[#Headers],0)),0)+IFERROR(INDEX(阻害要因×疾患名[#All],MATCH($AI25,阻害要因×疾患名[[#All],[値]],0),MATCH($AR$4,阻害要因×疾患名[#Headers],0)),0)</f>
        <v>53</v>
      </c>
      <c r="J25" s="68">
        <f t="shared" si="4"/>
        <v>0.26903553299492383</v>
      </c>
      <c r="K25" s="38">
        <f t="shared" si="5"/>
        <v>542</v>
      </c>
      <c r="L25" s="55" t="s">
        <v>174</v>
      </c>
      <c r="M25" s="65"/>
      <c r="N25" s="65">
        <v>299</v>
      </c>
      <c r="O25" s="65">
        <v>35</v>
      </c>
      <c r="P25" s="59">
        <v>29</v>
      </c>
      <c r="Q25" s="59">
        <v>18</v>
      </c>
      <c r="R25" s="59">
        <v>83</v>
      </c>
      <c r="S25" s="59">
        <v>97</v>
      </c>
      <c r="T25" s="59">
        <v>10</v>
      </c>
      <c r="U25" s="59">
        <v>7</v>
      </c>
      <c r="V25" s="59">
        <v>9</v>
      </c>
      <c r="W25" s="59">
        <v>7</v>
      </c>
      <c r="X25" s="59">
        <v>0</v>
      </c>
      <c r="Y25" s="59">
        <v>1</v>
      </c>
      <c r="Z25" s="59">
        <v>1</v>
      </c>
      <c r="AA25" s="59">
        <v>6</v>
      </c>
      <c r="AB25" s="59">
        <v>2</v>
      </c>
      <c r="AC25" s="59">
        <v>0</v>
      </c>
      <c r="AD25" s="59">
        <v>1</v>
      </c>
      <c r="AI25" s="55" t="s">
        <v>174</v>
      </c>
    </row>
    <row r="26" spans="2:35" ht="18.75" customHeight="1" x14ac:dyDescent="0.15">
      <c r="B26" s="104" t="s">
        <v>47</v>
      </c>
      <c r="C26" s="69">
        <f>IFERROR(INDEX(阻害要因×疾患名[#All],MATCH($AI26,阻害要因×疾患名[[#All],[値]],0),MATCH($AJ$4,阻害要因×疾患名[#Headers],0)),0)+IFERROR(INDEX(阻害要因×疾患名[#All],MATCH($AI26,阻害要因×疾患名[[#All],[値]],0),MATCH($AK$4,阻害要因×疾患名[#Headers],0)),0)</f>
        <v>17</v>
      </c>
      <c r="D26" s="68">
        <f t="shared" si="1"/>
        <v>6.5134099616858232E-2</v>
      </c>
      <c r="E26" s="69">
        <f>IFERROR(INDEX(阻害要因×疾患名[#All],MATCH($AI26,阻害要因×疾患名[[#All],[値]],0),MATCH($AL$4,阻害要因×疾患名[#Headers],0)),0)</f>
        <v>17</v>
      </c>
      <c r="F26" s="68">
        <f t="shared" si="2"/>
        <v>7.9439252336448593E-2</v>
      </c>
      <c r="G26" s="69">
        <f>IFERROR(INDEX(阻害要因×疾患名[#All],MATCH($AI26,阻害要因×疾患名[[#All],[値]],0),MATCH($AP$4,阻害要因×疾患名[#Headers],0)),0)</f>
        <v>61</v>
      </c>
      <c r="H26" s="68">
        <f t="shared" si="3"/>
        <v>6.3278008298755184E-2</v>
      </c>
      <c r="I26" s="69">
        <f>IFERROR(INDEX(阻害要因×疾患名[#All],MATCH($AI26,阻害要因×疾患名[[#All],[値]],0),MATCH($AQ$4,阻害要因×疾患名[#Headers],0)),0)+IFERROR(INDEX(阻害要因×疾患名[#All],MATCH($AI26,阻害要因×疾患名[[#All],[値]],0),MATCH($AR$4,阻害要因×疾患名[#Headers],0)),0)</f>
        <v>13</v>
      </c>
      <c r="J26" s="68">
        <f t="shared" si="4"/>
        <v>6.5989847715736044E-2</v>
      </c>
      <c r="K26" s="38">
        <f t="shared" si="5"/>
        <v>108</v>
      </c>
      <c r="L26" s="55" t="s">
        <v>175</v>
      </c>
      <c r="M26" s="65"/>
      <c r="N26" s="65">
        <v>61</v>
      </c>
      <c r="O26" s="65">
        <v>8</v>
      </c>
      <c r="P26" s="59">
        <v>6</v>
      </c>
      <c r="Q26" s="59">
        <v>5</v>
      </c>
      <c r="R26" s="59">
        <v>17</v>
      </c>
      <c r="S26" s="59">
        <v>14</v>
      </c>
      <c r="T26" s="59">
        <v>3</v>
      </c>
      <c r="U26" s="59">
        <v>2</v>
      </c>
      <c r="V26" s="59">
        <v>0</v>
      </c>
      <c r="W26" s="59">
        <v>1</v>
      </c>
      <c r="X26" s="59">
        <v>0</v>
      </c>
      <c r="Y26" s="59">
        <v>0</v>
      </c>
      <c r="Z26" s="59">
        <v>0</v>
      </c>
      <c r="AA26" s="59">
        <v>2</v>
      </c>
      <c r="AB26" s="59">
        <v>0</v>
      </c>
      <c r="AC26" s="59">
        <v>2</v>
      </c>
      <c r="AD26" s="59">
        <v>0</v>
      </c>
      <c r="AI26" s="55" t="s">
        <v>175</v>
      </c>
    </row>
    <row r="27" spans="2:35" ht="18.75" customHeight="1" x14ac:dyDescent="0.15">
      <c r="B27" s="104" t="s">
        <v>48</v>
      </c>
      <c r="C27" s="69">
        <f>IFERROR(INDEX(阻害要因×疾患名[#All],MATCH($AI27,阻害要因×疾患名[[#All],[値]],0),MATCH($AJ$4,阻害要因×疾患名[#Headers],0)),0)+IFERROR(INDEX(阻害要因×疾患名[#All],MATCH($AI27,阻害要因×疾患名[[#All],[値]],0),MATCH($AK$4,阻害要因×疾患名[#Headers],0)),0)</f>
        <v>11</v>
      </c>
      <c r="D27" s="68">
        <f t="shared" si="1"/>
        <v>4.2145593869731802E-2</v>
      </c>
      <c r="E27" s="69">
        <f>IFERROR(INDEX(阻害要因×疾患名[#All],MATCH($AI27,阻害要因×疾患名[[#All],[値]],0),MATCH($AL$4,阻害要因×疾患名[#Headers],0)),0)</f>
        <v>5</v>
      </c>
      <c r="F27" s="68">
        <f t="shared" si="2"/>
        <v>2.336448598130841E-2</v>
      </c>
      <c r="G27" s="69">
        <f>IFERROR(INDEX(阻害要因×疾患名[#All],MATCH($AI27,阻害要因×疾患名[[#All],[値]],0),MATCH($AP$4,阻害要因×疾患名[#Headers],0)),0)</f>
        <v>31</v>
      </c>
      <c r="H27" s="68">
        <f t="shared" si="3"/>
        <v>3.2157676348547715E-2</v>
      </c>
      <c r="I27" s="69">
        <f>IFERROR(INDEX(阻害要因×疾患名[#All],MATCH($AI27,阻害要因×疾患名[[#All],[値]],0),MATCH($AQ$4,阻害要因×疾患名[#Headers],0)),0)+IFERROR(INDEX(阻害要因×疾患名[#All],MATCH($AI27,阻害要因×疾患名[[#All],[値]],0),MATCH($AR$4,阻害要因×疾患名[#Headers],0)),0)</f>
        <v>4</v>
      </c>
      <c r="J27" s="68">
        <f t="shared" si="4"/>
        <v>2.030456852791878E-2</v>
      </c>
      <c r="K27" s="38">
        <f t="shared" si="5"/>
        <v>51</v>
      </c>
      <c r="L27" s="55" t="s">
        <v>176</v>
      </c>
      <c r="M27" s="65"/>
      <c r="N27" s="65">
        <v>31</v>
      </c>
      <c r="O27" s="65">
        <v>2</v>
      </c>
      <c r="P27" s="59">
        <v>13</v>
      </c>
      <c r="Q27" s="59">
        <v>2</v>
      </c>
      <c r="R27" s="59">
        <v>5</v>
      </c>
      <c r="S27" s="59">
        <v>10</v>
      </c>
      <c r="T27" s="59">
        <v>1</v>
      </c>
      <c r="U27" s="59">
        <v>1</v>
      </c>
      <c r="V27" s="59">
        <v>3</v>
      </c>
      <c r="W27" s="59">
        <v>1</v>
      </c>
      <c r="X27" s="59">
        <v>0</v>
      </c>
      <c r="Y27" s="59">
        <v>0</v>
      </c>
      <c r="Z27" s="59">
        <v>0</v>
      </c>
      <c r="AA27" s="59">
        <v>1</v>
      </c>
      <c r="AB27" s="59">
        <v>0</v>
      </c>
      <c r="AC27" s="59">
        <v>0</v>
      </c>
      <c r="AD27" s="59">
        <v>0</v>
      </c>
      <c r="AI27" s="55" t="s">
        <v>176</v>
      </c>
    </row>
    <row r="28" spans="2:35" ht="18.75" customHeight="1" x14ac:dyDescent="0.15">
      <c r="B28" s="104" t="s">
        <v>49</v>
      </c>
      <c r="C28" s="67">
        <f>IFERROR(INDEX(阻害要因×疾患名[#All],MATCH($AI28,阻害要因×疾患名[[#All],[値]],0),MATCH($AJ$4,阻害要因×疾患名[#Headers],0)),0)+IFERROR(INDEX(阻害要因×疾患名[#All],MATCH($AI28,阻害要因×疾患名[[#All],[値]],0),MATCH($AK$4,阻害要因×疾患名[#Headers],0)),0)</f>
        <v>0</v>
      </c>
      <c r="D28" s="72">
        <f t="shared" si="1"/>
        <v>0</v>
      </c>
      <c r="E28" s="67">
        <f>IFERROR(INDEX(阻害要因×疾患名[#All],MATCH($AI28,阻害要因×疾患名[[#All],[値]],0),MATCH($AL$4,阻害要因×疾患名[#Headers],0)),0)</f>
        <v>0</v>
      </c>
      <c r="F28" s="72">
        <f t="shared" si="2"/>
        <v>0</v>
      </c>
      <c r="G28" s="67">
        <f>IFERROR(INDEX(阻害要因×疾患名[#All],MATCH($AI28,阻害要因×疾患名[[#All],[値]],0),MATCH($AP$4,阻害要因×疾患名[#Headers],0)),0)</f>
        <v>4</v>
      </c>
      <c r="H28" s="72">
        <f t="shared" si="3"/>
        <v>4.1493775933609959E-3</v>
      </c>
      <c r="I28" s="67">
        <f>IFERROR(INDEX(阻害要因×疾患名[#All],MATCH($AI28,阻害要因×疾患名[[#All],[値]],0),MATCH($AQ$4,阻害要因×疾患名[#Headers],0)),0)+IFERROR(INDEX(阻害要因×疾患名[#All],MATCH($AI28,阻害要因×疾患名[[#All],[値]],0),MATCH($AR$4,阻害要因×疾患名[#Headers],0)),0)</f>
        <v>0</v>
      </c>
      <c r="J28" s="72">
        <f t="shared" si="4"/>
        <v>0</v>
      </c>
      <c r="K28" s="38">
        <f t="shared" si="5"/>
        <v>4</v>
      </c>
      <c r="L28" s="55" t="s">
        <v>177</v>
      </c>
      <c r="M28" s="65"/>
      <c r="N28" s="65">
        <v>4</v>
      </c>
      <c r="O28" s="59">
        <v>0</v>
      </c>
      <c r="P28" s="59">
        <v>2</v>
      </c>
      <c r="Q28" s="59">
        <v>0</v>
      </c>
      <c r="R28" s="59">
        <v>0</v>
      </c>
      <c r="S28" s="59">
        <v>0</v>
      </c>
      <c r="T28" s="59">
        <v>0</v>
      </c>
      <c r="U28" s="59">
        <v>0</v>
      </c>
      <c r="V28" s="59">
        <v>0</v>
      </c>
      <c r="W28" s="59">
        <v>0</v>
      </c>
      <c r="X28" s="59">
        <v>0</v>
      </c>
      <c r="Y28" s="59">
        <v>0</v>
      </c>
      <c r="Z28" s="59">
        <v>0</v>
      </c>
      <c r="AA28" s="59">
        <v>0</v>
      </c>
      <c r="AB28" s="59">
        <v>0</v>
      </c>
      <c r="AC28" s="59">
        <v>0</v>
      </c>
      <c r="AD28" s="59">
        <v>0</v>
      </c>
      <c r="AI28" s="55" t="s">
        <v>177</v>
      </c>
    </row>
    <row r="29" spans="2:35" ht="18.75" customHeight="1" x14ac:dyDescent="0.15">
      <c r="B29" s="104" t="s">
        <v>50</v>
      </c>
      <c r="C29" s="105">
        <f>IFERROR(INDEX(阻害要因×疾患名[#All],MATCH($AI29,阻害要因×疾患名[[#All],[値]],0),MATCH($AJ$4,阻害要因×疾患名[#Headers],0)),0)+IFERROR(INDEX(阻害要因×疾患名[#All],MATCH($AI29,阻害要因×疾患名[[#All],[値]],0),MATCH($AK$4,阻害要因×疾患名[#Headers],0)),0)</f>
        <v>14</v>
      </c>
      <c r="D29" s="68">
        <f t="shared" si="1"/>
        <v>5.3639846743295021E-2</v>
      </c>
      <c r="E29" s="69">
        <f>IFERROR(INDEX(阻害要因×疾患名[#All],MATCH($AI29,阻害要因×疾患名[[#All],[値]],0),MATCH($AL$4,阻害要因×疾患名[#Headers],0)),0)</f>
        <v>28</v>
      </c>
      <c r="F29" s="68">
        <f t="shared" si="2"/>
        <v>0.13084112149532709</v>
      </c>
      <c r="G29" s="69">
        <f>IFERROR(INDEX(阻害要因×疾患名[#All],MATCH($AI29,阻害要因×疾患名[[#All],[値]],0),MATCH($AP$4,阻害要因×疾患名[#Headers],0)),0)</f>
        <v>72</v>
      </c>
      <c r="H29" s="68">
        <f t="shared" si="3"/>
        <v>7.4688796680497924E-2</v>
      </c>
      <c r="I29" s="69">
        <f>IFERROR(INDEX(阻害要因×疾患名[#All],MATCH($AI29,阻害要因×疾患名[[#All],[値]],0),MATCH($AQ$4,阻害要因×疾患名[#Headers],0)),0)+IFERROR(INDEX(阻害要因×疾患名[#All],MATCH($AI29,阻害要因×疾患名[[#All],[値]],0),MATCH($AR$4,阻害要因×疾患名[#Headers],0)),0)</f>
        <v>13</v>
      </c>
      <c r="J29" s="68">
        <f t="shared" si="4"/>
        <v>6.5989847715736044E-2</v>
      </c>
      <c r="K29" s="38">
        <f t="shared" si="5"/>
        <v>127</v>
      </c>
      <c r="L29" s="55" t="s">
        <v>178</v>
      </c>
      <c r="M29" s="65"/>
      <c r="N29" s="65">
        <v>72</v>
      </c>
      <c r="O29" s="59">
        <v>4</v>
      </c>
      <c r="P29" s="59">
        <v>17</v>
      </c>
      <c r="Q29" s="59">
        <v>9</v>
      </c>
      <c r="R29" s="59">
        <v>28</v>
      </c>
      <c r="S29" s="59">
        <v>14</v>
      </c>
      <c r="T29" s="59">
        <v>0</v>
      </c>
      <c r="U29" s="59">
        <v>1</v>
      </c>
      <c r="V29" s="59">
        <v>1</v>
      </c>
      <c r="W29" s="59">
        <v>1</v>
      </c>
      <c r="X29" s="59">
        <v>0</v>
      </c>
      <c r="Y29" s="59">
        <v>0</v>
      </c>
      <c r="Z29" s="59">
        <v>0</v>
      </c>
      <c r="AA29" s="59">
        <v>1</v>
      </c>
      <c r="AB29" s="59">
        <v>1</v>
      </c>
      <c r="AC29" s="59">
        <v>0</v>
      </c>
      <c r="AD29" s="59">
        <v>0</v>
      </c>
      <c r="AI29" s="55" t="s">
        <v>178</v>
      </c>
    </row>
    <row r="30" spans="2:35" ht="18.75" customHeight="1" x14ac:dyDescent="0.15">
      <c r="B30" s="104" t="s">
        <v>51</v>
      </c>
      <c r="C30" s="105">
        <f>IFERROR(INDEX(阻害要因×疾患名[#All],MATCH($AI30,阻害要因×疾患名[[#All],[値]],0),MATCH($AJ$4,阻害要因×疾患名[#Headers],0)),0)+IFERROR(INDEX(阻害要因×疾患名[#All],MATCH($AI30,阻害要因×疾患名[[#All],[値]],0),MATCH($AK$4,阻害要因×疾患名[#Headers],0)),0)</f>
        <v>14</v>
      </c>
      <c r="D30" s="68">
        <f t="shared" si="1"/>
        <v>5.3639846743295021E-2</v>
      </c>
      <c r="E30" s="69">
        <f>IFERROR(INDEX(阻害要因×疾患名[#All],MATCH($AI30,阻害要因×疾患名[[#All],[値]],0),MATCH($AL$4,阻害要因×疾患名[#Headers],0)),0)</f>
        <v>14</v>
      </c>
      <c r="F30" s="68">
        <f t="shared" si="2"/>
        <v>6.5420560747663545E-2</v>
      </c>
      <c r="G30" s="69">
        <f>IFERROR(INDEX(阻害要因×疾患名[#All],MATCH($AI30,阻害要因×疾患名[[#All],[値]],0),MATCH($AP$4,阻害要因×疾患名[#Headers],0)),0)</f>
        <v>68</v>
      </c>
      <c r="H30" s="68">
        <f t="shared" si="3"/>
        <v>7.0539419087136929E-2</v>
      </c>
      <c r="I30" s="69">
        <f>IFERROR(INDEX(阻害要因×疾患名[#All],MATCH($AI30,阻害要因×疾患名[[#All],[値]],0),MATCH($AQ$4,阻害要因×疾患名[#Headers],0)),0)+IFERROR(INDEX(阻害要因×疾患名[#All],MATCH($AI30,阻害要因×疾患名[[#All],[値]],0),MATCH($AR$4,阻害要因×疾患名[#Headers],0)),0)</f>
        <v>11</v>
      </c>
      <c r="J30" s="68">
        <f t="shared" si="4"/>
        <v>5.5837563451776651E-2</v>
      </c>
      <c r="K30" s="38">
        <f t="shared" si="5"/>
        <v>107</v>
      </c>
      <c r="L30" s="55" t="s">
        <v>179</v>
      </c>
      <c r="M30" s="65"/>
      <c r="N30" s="65">
        <v>68</v>
      </c>
      <c r="O30" s="59">
        <v>4</v>
      </c>
      <c r="P30" s="59">
        <v>15</v>
      </c>
      <c r="Q30" s="59">
        <v>7</v>
      </c>
      <c r="R30" s="59">
        <v>14</v>
      </c>
      <c r="S30" s="59">
        <v>12</v>
      </c>
      <c r="T30" s="59">
        <v>2</v>
      </c>
      <c r="U30" s="59">
        <v>1</v>
      </c>
      <c r="V30" s="59">
        <v>1</v>
      </c>
      <c r="W30" s="59">
        <v>4</v>
      </c>
      <c r="X30" s="59">
        <v>1</v>
      </c>
      <c r="Y30" s="59">
        <v>0</v>
      </c>
      <c r="Z30" s="59">
        <v>1</v>
      </c>
      <c r="AA30" s="59">
        <v>0</v>
      </c>
      <c r="AB30" s="59">
        <v>1</v>
      </c>
      <c r="AC30" s="59">
        <v>0</v>
      </c>
      <c r="AD30" s="59">
        <v>0</v>
      </c>
      <c r="AI30" s="55" t="s">
        <v>179</v>
      </c>
    </row>
    <row r="31" spans="2:35" ht="18.75" customHeight="1" x14ac:dyDescent="0.15">
      <c r="B31" s="104" t="s">
        <v>247</v>
      </c>
      <c r="C31" s="69">
        <f>IFERROR(INDEX(阻害要因×疾患名[#All],MATCH($AI31,阻害要因×疾患名[[#All],[値]],0),MATCH($AJ$4,阻害要因×疾患名[#Headers],0)),0)+IFERROR(INDEX(阻害要因×疾患名[#All],MATCH($AI31,阻害要因×疾患名[[#All],[値]],0),MATCH($AK$4,阻害要因×疾患名[#Headers],0)),0)</f>
        <v>1</v>
      </c>
      <c r="D31" s="68">
        <f t="shared" si="1"/>
        <v>3.8314176245210726E-3</v>
      </c>
      <c r="E31" s="69">
        <f>IFERROR(INDEX(阻害要因×疾患名[#All],MATCH($AI31,阻害要因×疾患名[[#All],[値]],0),MATCH($AL$4,阻害要因×疾患名[#Headers],0)),0)</f>
        <v>4</v>
      </c>
      <c r="F31" s="68">
        <f t="shared" si="2"/>
        <v>1.8691588785046728E-2</v>
      </c>
      <c r="G31" s="69">
        <f>IFERROR(INDEX(阻害要因×疾患名[#All],MATCH($AI31,阻害要因×疾患名[[#All],[値]],0),MATCH($AP$4,阻害要因×疾患名[#Headers],0)),0)</f>
        <v>14</v>
      </c>
      <c r="H31" s="68">
        <f t="shared" si="3"/>
        <v>1.4522821576763486E-2</v>
      </c>
      <c r="I31" s="69">
        <f>IFERROR(INDEX(阻害要因×疾患名[#All],MATCH($AI31,阻害要因×疾患名[[#All],[値]],0),MATCH($AQ$4,阻害要因×疾患名[#Headers],0)),0)+IFERROR(INDEX(阻害要因×疾患名[#All],MATCH($AI31,阻害要因×疾患名[[#All],[値]],0),MATCH($AR$4,阻害要因×疾患名[#Headers],0)),0)</f>
        <v>2</v>
      </c>
      <c r="J31" s="68">
        <f t="shared" si="4"/>
        <v>1.015228426395939E-2</v>
      </c>
      <c r="K31" s="38">
        <f t="shared" si="5"/>
        <v>21</v>
      </c>
      <c r="L31" s="55" t="s">
        <v>180</v>
      </c>
      <c r="M31" s="65"/>
      <c r="N31" s="65">
        <v>14</v>
      </c>
      <c r="O31" s="59">
        <v>2</v>
      </c>
      <c r="P31" s="59">
        <v>7</v>
      </c>
      <c r="Q31" s="59">
        <v>0</v>
      </c>
      <c r="R31" s="59">
        <v>4</v>
      </c>
      <c r="S31" s="59">
        <v>1</v>
      </c>
      <c r="T31" s="59">
        <v>0</v>
      </c>
      <c r="U31" s="59">
        <v>0</v>
      </c>
      <c r="V31" s="59">
        <v>0</v>
      </c>
      <c r="W31" s="59">
        <v>0</v>
      </c>
      <c r="X31" s="59">
        <v>0</v>
      </c>
      <c r="Y31" s="59">
        <v>0</v>
      </c>
      <c r="Z31" s="59">
        <v>0</v>
      </c>
      <c r="AA31" s="59">
        <v>0</v>
      </c>
      <c r="AB31" s="59">
        <v>0</v>
      </c>
      <c r="AC31" s="59">
        <v>0</v>
      </c>
      <c r="AD31" s="59">
        <v>0</v>
      </c>
      <c r="AI31" s="55" t="s">
        <v>180</v>
      </c>
    </row>
    <row r="32" spans="2:35" s="537" customFormat="1" ht="18.75" customHeight="1" x14ac:dyDescent="0.15">
      <c r="B32" s="541" t="s">
        <v>381</v>
      </c>
      <c r="C32" s="69">
        <f>IFERROR(INDEX(阻害要因×疾患名[#All],MATCH($AI32,阻害要因×疾患名[[#All],[値]],0),MATCH($AJ$4,阻害要因×疾患名[#Headers],0)),0)+IFERROR(INDEX(阻害要因×疾患名[#All],MATCH($AI32,阻害要因×疾患名[[#All],[値]],0),MATCH($AK$4,阻害要因×疾患名[#Headers],0)),0)</f>
        <v>75</v>
      </c>
      <c r="D32" s="68">
        <f t="shared" ref="D32:D34" si="6">IFERROR(C32/C$11,"-")</f>
        <v>0.28735632183908044</v>
      </c>
      <c r="E32" s="69">
        <f>IFERROR(INDEX(阻害要因×疾患名[#All],MATCH($AI32,阻害要因×疾患名[[#All],[値]],0),MATCH($AL$4,阻害要因×疾患名[#Headers],0)),0)</f>
        <v>55</v>
      </c>
      <c r="F32" s="68">
        <f t="shared" ref="F32:F34" si="7">IFERROR(E32/E$11,"-")</f>
        <v>0.2570093457943925</v>
      </c>
      <c r="G32" s="69">
        <f>IFERROR(INDEX(阻害要因×疾患名[#All],MATCH($AI32,阻害要因×疾患名[[#All],[値]],0),MATCH($AP$4,阻害要因×疾患名[#Headers],0)),0)</f>
        <v>114</v>
      </c>
      <c r="H32" s="68">
        <f t="shared" ref="H32:H34" si="8">IFERROR(G32/G$11,"-")</f>
        <v>0.11825726141078838</v>
      </c>
      <c r="I32" s="69">
        <f>IFERROR(INDEX(阻害要因×疾患名[#All],MATCH($AI32,阻害要因×疾患名[[#All],[値]],0),MATCH($AQ$4,阻害要因×疾患名[#Headers],0)),0)+IFERROR(INDEX(阻害要因×疾患名[#All],MATCH($AI32,阻害要因×疾患名[[#All],[値]],0),MATCH($AR$4,阻害要因×疾患名[#Headers],0)),0)</f>
        <v>26</v>
      </c>
      <c r="J32" s="68">
        <f t="shared" ref="J32:J34" si="9">IFERROR(I32/I$11,"-")</f>
        <v>0.13197969543147209</v>
      </c>
      <c r="K32" s="38">
        <f t="shared" si="5"/>
        <v>270</v>
      </c>
      <c r="L32" s="55" t="s">
        <v>383</v>
      </c>
      <c r="M32" s="540"/>
      <c r="N32" s="65">
        <v>114</v>
      </c>
      <c r="O32" s="59">
        <v>19</v>
      </c>
      <c r="P32" s="59">
        <v>10</v>
      </c>
      <c r="Q32" s="59">
        <v>7</v>
      </c>
      <c r="R32" s="59">
        <v>55</v>
      </c>
      <c r="S32" s="59">
        <v>63</v>
      </c>
      <c r="T32" s="59">
        <v>12</v>
      </c>
      <c r="U32" s="59">
        <v>5</v>
      </c>
      <c r="V32" s="59">
        <v>2</v>
      </c>
      <c r="W32" s="59">
        <v>5</v>
      </c>
      <c r="X32" s="59">
        <v>1</v>
      </c>
      <c r="Y32" s="59">
        <v>1</v>
      </c>
      <c r="Z32" s="59">
        <v>0</v>
      </c>
      <c r="AA32" s="59">
        <v>0</v>
      </c>
      <c r="AB32" s="59">
        <v>0</v>
      </c>
      <c r="AC32" s="59">
        <v>1</v>
      </c>
      <c r="AD32" s="59">
        <v>0</v>
      </c>
      <c r="AI32" s="55" t="s">
        <v>383</v>
      </c>
    </row>
    <row r="33" spans="2:35" s="537" customFormat="1" ht="39" customHeight="1" x14ac:dyDescent="0.15">
      <c r="B33" s="542" t="s">
        <v>382</v>
      </c>
      <c r="C33" s="69">
        <f>IFERROR(INDEX(阻害要因×疾患名[#All],MATCH($AI33,阻害要因×疾患名[[#All],[値]],0),MATCH($AJ$4,阻害要因×疾患名[#Headers],0)),0)+IFERROR(INDEX(阻害要因×疾患名[#All],MATCH($AI33,阻害要因×疾患名[[#All],[値]],0),MATCH($AK$4,阻害要因×疾患名[#Headers],0)),0)</f>
        <v>38</v>
      </c>
      <c r="D33" s="68">
        <f t="shared" si="6"/>
        <v>0.14559386973180077</v>
      </c>
      <c r="E33" s="69">
        <f>IFERROR(INDEX(阻害要因×疾患名[#All],MATCH($AI33,阻害要因×疾患名[[#All],[値]],0),MATCH($AL$4,阻害要因×疾患名[#Headers],0)),0)</f>
        <v>31</v>
      </c>
      <c r="F33" s="68">
        <f t="shared" si="7"/>
        <v>0.14485981308411214</v>
      </c>
      <c r="G33" s="69">
        <f>IFERROR(INDEX(阻害要因×疾患名[#All],MATCH($AI33,阻害要因×疾患名[[#All],[値]],0),MATCH($AP$4,阻害要因×疾患名[#Headers],0)),0)</f>
        <v>72</v>
      </c>
      <c r="H33" s="68">
        <f t="shared" si="8"/>
        <v>7.4688796680497924E-2</v>
      </c>
      <c r="I33" s="69">
        <f>IFERROR(INDEX(阻害要因×疾患名[#All],MATCH($AI33,阻害要因×疾患名[[#All],[値]],0),MATCH($AQ$4,阻害要因×疾患名[#Headers],0)),0)+IFERROR(INDEX(阻害要因×疾患名[#All],MATCH($AI33,阻害要因×疾患名[[#All],[値]],0),MATCH($AR$4,阻害要因×疾患名[#Headers],0)),0)</f>
        <v>15</v>
      </c>
      <c r="J33" s="68">
        <f t="shared" si="9"/>
        <v>7.6142131979695438E-2</v>
      </c>
      <c r="K33" s="38">
        <f t="shared" si="5"/>
        <v>156</v>
      </c>
      <c r="L33" s="55" t="s">
        <v>384</v>
      </c>
      <c r="M33" s="540"/>
      <c r="N33" s="65">
        <v>72</v>
      </c>
      <c r="O33" s="59">
        <v>12</v>
      </c>
      <c r="P33" s="59">
        <v>7</v>
      </c>
      <c r="Q33" s="59">
        <v>3</v>
      </c>
      <c r="R33" s="59">
        <v>31</v>
      </c>
      <c r="S33" s="59">
        <v>32</v>
      </c>
      <c r="T33" s="59">
        <v>6</v>
      </c>
      <c r="U33" s="59">
        <v>3</v>
      </c>
      <c r="V33" s="59">
        <v>3</v>
      </c>
      <c r="W33" s="59">
        <v>1</v>
      </c>
      <c r="X33" s="59">
        <v>0</v>
      </c>
      <c r="Y33" s="59">
        <v>2</v>
      </c>
      <c r="Z33" s="59">
        <v>0</v>
      </c>
      <c r="AA33" s="59">
        <v>1</v>
      </c>
      <c r="AB33" s="59">
        <v>0</v>
      </c>
      <c r="AC33" s="59">
        <v>0</v>
      </c>
      <c r="AD33" s="59">
        <v>0</v>
      </c>
      <c r="AI33" s="55" t="s">
        <v>384</v>
      </c>
    </row>
    <row r="34" spans="2:35" ht="18.75" customHeight="1" x14ac:dyDescent="0.15">
      <c r="B34" s="106" t="s">
        <v>53</v>
      </c>
      <c r="C34" s="73">
        <f>IFERROR(INDEX(阻害要因×疾患名[#All],MATCH($AI34,阻害要因×疾患名[[#All],[値]],0),MATCH($AJ$4,阻害要因×疾患名[#Headers],0)),0)+IFERROR(INDEX(阻害要因×疾患名[#All],MATCH($AI34,阻害要因×疾患名[[#All],[値]],0),MATCH($AK$4,阻害要因×疾患名[#Headers],0)),0)</f>
        <v>4</v>
      </c>
      <c r="D34" s="76">
        <f t="shared" si="6"/>
        <v>1.532567049808429E-2</v>
      </c>
      <c r="E34" s="73">
        <f>IFERROR(INDEX(阻害要因×疾患名[#All],MATCH($AI34,阻害要因×疾患名[[#All],[値]],0),MATCH($AL$4,阻害要因×疾患名[#Headers],0)),0)</f>
        <v>10</v>
      </c>
      <c r="F34" s="76">
        <f t="shared" si="7"/>
        <v>4.6728971962616821E-2</v>
      </c>
      <c r="G34" s="73">
        <f>IFERROR(INDEX(阻害要因×疾患名[#All],MATCH($AI34,阻害要因×疾患名[[#All],[値]],0),MATCH($AP$4,阻害要因×疾患名[#Headers],0)),0)</f>
        <v>25</v>
      </c>
      <c r="H34" s="76">
        <f t="shared" si="8"/>
        <v>2.5933609958506226E-2</v>
      </c>
      <c r="I34" s="73">
        <f>IFERROR(INDEX(阻害要因×疾患名[#All],MATCH($AI34,阻害要因×疾患名[[#All],[値]],0),MATCH($AQ$4,阻害要因×疾患名[#Headers],0)),0)+IFERROR(INDEX(阻害要因×疾患名[#All],MATCH($AI34,阻害要因×疾患名[[#All],[値]],0),MATCH($AR$4,阻害要因×疾患名[#Headers],0)),0)</f>
        <v>3</v>
      </c>
      <c r="J34" s="76">
        <f t="shared" si="9"/>
        <v>1.5228426395939087E-2</v>
      </c>
      <c r="K34" s="38">
        <f t="shared" si="5"/>
        <v>42</v>
      </c>
      <c r="L34" s="55" t="s">
        <v>181</v>
      </c>
      <c r="M34" s="65"/>
      <c r="N34" s="65">
        <v>25</v>
      </c>
      <c r="O34" s="59">
        <v>3</v>
      </c>
      <c r="P34" s="59">
        <v>1</v>
      </c>
      <c r="Q34" s="59">
        <v>0</v>
      </c>
      <c r="R34" s="59">
        <v>10</v>
      </c>
      <c r="S34" s="59">
        <v>3</v>
      </c>
      <c r="T34" s="59">
        <v>1</v>
      </c>
      <c r="U34" s="59">
        <v>1</v>
      </c>
      <c r="V34" s="59">
        <v>2</v>
      </c>
      <c r="W34" s="59">
        <v>3</v>
      </c>
      <c r="X34" s="59">
        <v>0</v>
      </c>
      <c r="Y34" s="59">
        <v>0</v>
      </c>
      <c r="Z34" s="59">
        <v>0</v>
      </c>
      <c r="AA34" s="59">
        <v>1</v>
      </c>
      <c r="AB34" s="59">
        <v>0</v>
      </c>
      <c r="AC34" s="59">
        <v>0</v>
      </c>
      <c r="AD34" s="724">
        <v>0</v>
      </c>
      <c r="AI34" s="55" t="s">
        <v>181</v>
      </c>
    </row>
    <row r="35" spans="2:35" ht="18.75" customHeight="1" x14ac:dyDescent="0.15">
      <c r="C35" s="21"/>
      <c r="K35" s="38"/>
    </row>
    <row r="36" spans="2:35" ht="18.75" customHeight="1" x14ac:dyDescent="0.15">
      <c r="B36" s="2" t="s">
        <v>82</v>
      </c>
      <c r="K36" s="38"/>
    </row>
    <row r="37" spans="2:35" ht="18.75" customHeight="1" x14ac:dyDescent="0.15">
      <c r="B37" s="913" t="s">
        <v>244</v>
      </c>
      <c r="C37" s="942" t="s">
        <v>81</v>
      </c>
      <c r="D37" s="943"/>
      <c r="E37" s="943"/>
      <c r="F37" s="943"/>
      <c r="G37" s="943"/>
      <c r="H37" s="943"/>
      <c r="I37" s="943"/>
      <c r="J37" s="944"/>
    </row>
    <row r="38" spans="2:35" ht="56.25" customHeight="1" thickBot="1" x14ac:dyDescent="0.2">
      <c r="B38" s="914"/>
      <c r="C38" s="942" t="s">
        <v>268</v>
      </c>
      <c r="D38" s="943"/>
      <c r="E38" s="943"/>
      <c r="F38" s="944"/>
      <c r="G38" s="949" t="s">
        <v>73</v>
      </c>
      <c r="H38" s="950"/>
      <c r="I38" s="949" t="s">
        <v>76</v>
      </c>
      <c r="J38" s="950"/>
      <c r="K38" s="38"/>
      <c r="L38" s="52" t="s">
        <v>63</v>
      </c>
    </row>
    <row r="39" spans="2:35" ht="56.25" customHeight="1" thickTop="1" thickBot="1" x14ac:dyDescent="0.2">
      <c r="B39" s="941"/>
      <c r="C39" s="956" t="s">
        <v>198</v>
      </c>
      <c r="D39" s="957"/>
      <c r="E39" s="956" t="s">
        <v>199</v>
      </c>
      <c r="F39" s="957"/>
      <c r="G39" s="951"/>
      <c r="H39" s="952"/>
      <c r="I39" s="951"/>
      <c r="J39" s="952"/>
      <c r="K39" s="38">
        <f>C40+E40+G40+I40</f>
        <v>496</v>
      </c>
      <c r="L39" s="488" t="s">
        <v>373</v>
      </c>
      <c r="M39" s="86" t="s">
        <v>295</v>
      </c>
      <c r="N39" s="86" t="s">
        <v>284</v>
      </c>
      <c r="O39" s="86" t="s">
        <v>285</v>
      </c>
      <c r="P39" s="86" t="s">
        <v>286</v>
      </c>
      <c r="Q39" s="86" t="s">
        <v>200</v>
      </c>
      <c r="R39" s="86" t="s">
        <v>201</v>
      </c>
      <c r="S39" s="86" t="s">
        <v>287</v>
      </c>
      <c r="T39" s="86" t="s">
        <v>288</v>
      </c>
      <c r="U39" s="86" t="s">
        <v>289</v>
      </c>
      <c r="V39" s="86" t="s">
        <v>290</v>
      </c>
      <c r="W39" s="86" t="s">
        <v>291</v>
      </c>
      <c r="X39" s="86" t="s">
        <v>296</v>
      </c>
      <c r="Y39" s="86" t="s">
        <v>292</v>
      </c>
      <c r="Z39" s="86" t="s">
        <v>293</v>
      </c>
      <c r="AA39" s="86" t="s">
        <v>297</v>
      </c>
      <c r="AB39" s="86" t="s">
        <v>18</v>
      </c>
      <c r="AC39" s="86" t="s">
        <v>294</v>
      </c>
      <c r="AD39" s="86" t="s">
        <v>617</v>
      </c>
    </row>
    <row r="40" spans="2:35" ht="37.5" customHeight="1" thickTop="1" x14ac:dyDescent="0.15">
      <c r="B40" s="87" t="s">
        <v>231</v>
      </c>
      <c r="C40" s="88">
        <f>IFERROR(INDEX(退院予定有無×疾患名＿寛解・院内寛解[#All],MATCH($AI40,退院予定有無×疾患名＿寛解・院内寛解[[#All],[行ラベル]],0),MATCH($AJ$4,退院予定有無×疾患名＿寛解・院内寛解[#Headers],0)),0)+IFERROR(INDEX(退院予定有無×疾患名＿寛解・院内寛解[#All],MATCH($AI40,退院予定有無×疾患名＿寛解・院内寛解[[#All],[行ラベル]],0),MATCH($AK$4,退院予定有無×疾患名＿寛解・院内寛解[#Headers],0)),0)</f>
        <v>65</v>
      </c>
      <c r="D40" s="89">
        <f>IFERROR(C40/C$43,"-")</f>
        <v>0.37790697674418605</v>
      </c>
      <c r="E40" s="88">
        <f>IFERROR(INDEX(退院予定有無×疾患名＿寛解・院内寛解[#All],MATCH($AI40,退院予定有無×疾患名＿寛解・院内寛解[[#All],[行ラベル]],0),MATCH($AL$4,退院予定有無×疾患名＿寛解・院内寛解[#Headers],0)),0)</f>
        <v>58</v>
      </c>
      <c r="F40" s="89">
        <f>IFERROR(E40/E$43,"-")</f>
        <v>0.37179487179487181</v>
      </c>
      <c r="G40" s="88">
        <f>IFERROR(INDEX(退院予定有無×疾患名＿寛解・院内寛解[#All],MATCH($AI40,退院予定有無×疾患名＿寛解・院内寛解[[#All],[行ラベル]],0),MATCH($AP$4,退院予定有無×疾患名＿寛解・院内寛解[#Headers],0)),0)</f>
        <v>262</v>
      </c>
      <c r="H40" s="89">
        <f>IFERROR(G40/G$43,"-")</f>
        <v>0.41653418124006358</v>
      </c>
      <c r="I40" s="88">
        <f>IFERROR(INDEX(退院予定有無×疾患名＿寛解・院内寛解[#All],MATCH($AI40,退院予定有無×疾患名＿寛解・院内寛解[[#All],[行ラベル]],0),MATCH($AQ$4,退院予定有無×疾患名＿寛解・院内寛解[#Headers],0)),0)+IFERROR(INDEX(退院予定有無×疾患名＿寛解・院内寛解[#All],MATCH($AI40,退院予定有無×疾患名＿寛解・院内寛解[[#All],[行ラベル]],0),MATCH($AR$4,退院予定有無×疾患名＿寛解・院内寛解[#Headers],0)),0)</f>
        <v>111</v>
      </c>
      <c r="J40" s="89">
        <f>IFERROR(I40/I$43,"-")</f>
        <v>0.37373737373737376</v>
      </c>
      <c r="K40" s="38">
        <f>C41+E41+G41+I41</f>
        <v>248</v>
      </c>
      <c r="L40" s="33">
        <v>98</v>
      </c>
      <c r="M40" s="59">
        <v>18</v>
      </c>
      <c r="N40" s="65">
        <v>2</v>
      </c>
      <c r="O40" s="65">
        <v>27</v>
      </c>
      <c r="P40" s="59">
        <v>29</v>
      </c>
      <c r="Q40" s="59">
        <v>1</v>
      </c>
      <c r="R40" s="59">
        <v>0</v>
      </c>
      <c r="S40" s="59">
        <v>136</v>
      </c>
      <c r="T40" s="59">
        <v>39</v>
      </c>
      <c r="U40" s="59">
        <v>26</v>
      </c>
      <c r="V40" s="59">
        <v>6</v>
      </c>
      <c r="W40" s="59">
        <v>0</v>
      </c>
      <c r="X40" s="59">
        <v>0</v>
      </c>
      <c r="Y40" s="59">
        <v>6</v>
      </c>
      <c r="Z40" s="59">
        <v>2</v>
      </c>
      <c r="AA40" s="59">
        <v>2</v>
      </c>
      <c r="AB40" s="59">
        <v>1</v>
      </c>
      <c r="AC40" s="59">
        <v>0</v>
      </c>
      <c r="AD40" s="723">
        <v>0</v>
      </c>
      <c r="AI40" s="408">
        <v>97</v>
      </c>
    </row>
    <row r="41" spans="2:35" ht="18.75" customHeight="1" x14ac:dyDescent="0.15">
      <c r="B41" s="90" t="s">
        <v>241</v>
      </c>
      <c r="C41" s="69">
        <f>IFERROR(INDEX(退院予定有無×疾患名＿寛解・院内寛解[#All],MATCH($AI41,退院予定有無×疾患名＿寛解・院内寛解[[#All],[行ラベル]],0),MATCH($AJ$4,退院予定有無×疾患名＿寛解・院内寛解[#Headers],0)),0)+IFERROR(INDEX(退院予定有無×疾患名＿寛解・院内寛解[#All],MATCH($AI41,退院予定有無×疾患名＿寛解・院内寛解[[#All],[行ラベル]],0),MATCH($AK$4,退院予定有無×疾患名＿寛解・院内寛解[#Headers],0)),0)</f>
        <v>20</v>
      </c>
      <c r="D41" s="68">
        <f>IFERROR(C41/C$43,"-")</f>
        <v>0.11627906976744186</v>
      </c>
      <c r="E41" s="69">
        <f>IFERROR(INDEX(退院予定有無×疾患名＿寛解・院内寛解[#All],MATCH($AI41,退院予定有無×疾患名＿寛解・院内寛解[[#All],[行ラベル]],0),MATCH($AL$4,退院予定有無×疾患名＿寛解・院内寛解[#Headers],0)),0)</f>
        <v>27</v>
      </c>
      <c r="F41" s="68">
        <f>IFERROR(E41/E$43,"-")</f>
        <v>0.17307692307692307</v>
      </c>
      <c r="G41" s="69">
        <f>IFERROR(INDEX(退院予定有無×疾患名＿寛解・院内寛解[#All],MATCH($AI41,退院予定有無×疾患名＿寛解・院内寛解[[#All],[行ラベル]],0),MATCH($AP$4,退院予定有無×疾患名＿寛解・院内寛解[#Headers],0)),0)</f>
        <v>136</v>
      </c>
      <c r="H41" s="68">
        <f>IFERROR(G41/G$43,"-")</f>
        <v>0.21621621621621623</v>
      </c>
      <c r="I41" s="69">
        <f>IFERROR(INDEX(退院予定有無×疾患名＿寛解・院内寛解[#All],MATCH($AI41,退院予定有無×疾患名＿寛解・院内寛解[[#All],[行ラベル]],0),MATCH($AQ$4,退院予定有無×疾患名＿寛解・院内寛解[#Headers],0)),0)+IFERROR(INDEX(退院予定有無×疾患名＿寛解・院内寛解[#All],MATCH($AI41,退院予定有無×疾患名＿寛解・院内寛解[[#All],[行ラベル]],0),MATCH($AR$4,退院予定有無×疾患名＿寛解・院内寛解[#Headers],0)),0)</f>
        <v>65</v>
      </c>
      <c r="J41" s="68">
        <f>IFERROR(I41/I$43,"-")</f>
        <v>0.21885521885521886</v>
      </c>
      <c r="K41" s="38">
        <f>C42+E42+G42+I42</f>
        <v>510</v>
      </c>
      <c r="L41" s="33">
        <v>97</v>
      </c>
      <c r="M41" s="59">
        <v>58</v>
      </c>
      <c r="N41" s="65">
        <v>7</v>
      </c>
      <c r="O41" s="65">
        <v>58</v>
      </c>
      <c r="P41" s="59">
        <v>80</v>
      </c>
      <c r="Q41" s="59">
        <v>1</v>
      </c>
      <c r="R41" s="59">
        <v>4</v>
      </c>
      <c r="S41" s="59">
        <v>262</v>
      </c>
      <c r="T41" s="59">
        <v>57</v>
      </c>
      <c r="U41" s="59">
        <v>54</v>
      </c>
      <c r="V41" s="59">
        <v>23</v>
      </c>
      <c r="W41" s="59">
        <v>0</v>
      </c>
      <c r="X41" s="59">
        <v>3</v>
      </c>
      <c r="Y41" s="59">
        <v>6</v>
      </c>
      <c r="Z41" s="59">
        <v>6</v>
      </c>
      <c r="AA41" s="59">
        <v>0</v>
      </c>
      <c r="AB41" s="59">
        <v>2</v>
      </c>
      <c r="AC41" s="59">
        <v>0</v>
      </c>
      <c r="AD41" s="59">
        <v>0</v>
      </c>
      <c r="AI41" s="408">
        <v>98</v>
      </c>
    </row>
    <row r="42" spans="2:35" ht="18.75" customHeight="1" x14ac:dyDescent="0.15">
      <c r="B42" s="91" t="s">
        <v>36</v>
      </c>
      <c r="C42" s="69">
        <f>IFERROR(INDEX(退院予定有無×疾患名＿寛解・院内寛解[#All],MATCH($AI42,退院予定有無×疾患名＿寛解・院内寛解[[#All],[行ラベル]],0),MATCH($AJ$4,退院予定有無×疾患名＿寛解・院内寛解[#Headers],0)),0)+IFERROR(INDEX(退院予定有無×疾患名＿寛解・院内寛解[#All],MATCH($AI42,退院予定有無×疾患名＿寛解・院内寛解[[#All],[行ラベル]],0),MATCH($AK$4,退院予定有無×疾患名＿寛解・院内寛解[#Headers],0)),0)</f>
        <v>87</v>
      </c>
      <c r="D42" s="68">
        <f>IFERROR(C42/C$43,"-")</f>
        <v>0.5058139534883721</v>
      </c>
      <c r="E42" s="69">
        <f>IFERROR(INDEX(退院予定有無×疾患名＿寛解・院内寛解[#All],MATCH($AI42,退院予定有無×疾患名＿寛解・院内寛解[[#All],[行ラベル]],0),MATCH($AL$4,退院予定有無×疾患名＿寛解・院内寛解[#Headers],0)),0)</f>
        <v>71</v>
      </c>
      <c r="F42" s="68">
        <f>IFERROR(E42/E$43,"-")</f>
        <v>0.45512820512820512</v>
      </c>
      <c r="G42" s="69">
        <f>IFERROR(INDEX(退院予定有無×疾患名＿寛解・院内寛解[#All],MATCH($AI42,退院予定有無×疾患名＿寛解・院内寛解[[#All],[行ラベル]],0),MATCH($AP$4,退院予定有無×疾患名＿寛解・院内寛解[#Headers],0)),0)</f>
        <v>231</v>
      </c>
      <c r="H42" s="68">
        <f>IFERROR(G42/G$43,"-")</f>
        <v>0.36724960254372019</v>
      </c>
      <c r="I42" s="69">
        <f>IFERROR(INDEX(退院予定有無×疾患名＿寛解・院内寛解[#All],MATCH($AI42,退院予定有無×疾患名＿寛解・院内寛解[[#All],[行ラベル]],0),MATCH($AQ$4,退院予定有無×疾患名＿寛解・院内寛解[#Headers],0)),0)+IFERROR(INDEX(退院予定有無×疾患名＿寛解・院内寛解[#All],MATCH($AI42,退院予定有無×疾患名＿寛解・院内寛解[[#All],[行ラベル]],0),MATCH($AR$4,退院予定有無×疾患名＿寛解・院内寛解[#Headers],0)),0)</f>
        <v>121</v>
      </c>
      <c r="J42" s="68">
        <f>IFERROR(I42/I$43,"-")</f>
        <v>0.40740740740740738</v>
      </c>
      <c r="K42" s="38">
        <f>C43+E43+G43+I43</f>
        <v>1254</v>
      </c>
      <c r="L42" s="33">
        <v>99</v>
      </c>
      <c r="M42" s="59">
        <v>78</v>
      </c>
      <c r="N42" s="65">
        <v>9</v>
      </c>
      <c r="O42" s="65">
        <v>71</v>
      </c>
      <c r="P42" s="59">
        <v>111</v>
      </c>
      <c r="Q42" s="59">
        <v>2</v>
      </c>
      <c r="R42" s="59">
        <v>5</v>
      </c>
      <c r="S42" s="59">
        <v>231</v>
      </c>
      <c r="T42" s="59">
        <v>51</v>
      </c>
      <c r="U42" s="59">
        <v>70</v>
      </c>
      <c r="V42" s="59">
        <v>48</v>
      </c>
      <c r="W42" s="59">
        <v>4</v>
      </c>
      <c r="X42" s="59">
        <v>11</v>
      </c>
      <c r="Y42" s="59">
        <v>12</v>
      </c>
      <c r="Z42" s="59">
        <v>19</v>
      </c>
      <c r="AA42" s="59">
        <v>6</v>
      </c>
      <c r="AB42" s="59">
        <v>9</v>
      </c>
      <c r="AC42" s="59">
        <v>0</v>
      </c>
      <c r="AD42" s="724">
        <v>0</v>
      </c>
      <c r="AI42" s="408">
        <v>99</v>
      </c>
    </row>
    <row r="43" spans="2:35" ht="18.75" customHeight="1" x14ac:dyDescent="0.15">
      <c r="B43" s="92" t="s">
        <v>161</v>
      </c>
      <c r="C43" s="93">
        <f t="shared" ref="C43:J43" si="10">SUM(C40:C42)</f>
        <v>172</v>
      </c>
      <c r="D43" s="94">
        <f t="shared" si="10"/>
        <v>1</v>
      </c>
      <c r="E43" s="95">
        <f t="shared" si="10"/>
        <v>156</v>
      </c>
      <c r="F43" s="94">
        <f t="shared" si="10"/>
        <v>1</v>
      </c>
      <c r="G43" s="95">
        <f t="shared" si="10"/>
        <v>629</v>
      </c>
      <c r="H43" s="94">
        <f t="shared" si="10"/>
        <v>1</v>
      </c>
      <c r="I43" s="95">
        <f t="shared" si="10"/>
        <v>297</v>
      </c>
      <c r="J43" s="94">
        <f t="shared" si="10"/>
        <v>1</v>
      </c>
      <c r="K43" s="38"/>
      <c r="L43" s="33"/>
      <c r="M43" s="42"/>
      <c r="N43" s="42"/>
      <c r="O43" s="42"/>
      <c r="P43" s="42"/>
      <c r="Q43" s="42"/>
      <c r="R43" s="42"/>
      <c r="S43" s="42"/>
      <c r="T43" s="42"/>
      <c r="U43" s="42"/>
      <c r="V43" s="42"/>
      <c r="W43" s="42"/>
      <c r="X43" s="42"/>
      <c r="Y43" s="42"/>
      <c r="Z43" s="42"/>
      <c r="AA43" s="42"/>
      <c r="AB43" s="42"/>
      <c r="AI43" s="408"/>
    </row>
    <row r="44" spans="2:35" ht="18.75" customHeight="1" thickBot="1" x14ac:dyDescent="0.2">
      <c r="B44" s="96"/>
      <c r="C44" s="97"/>
      <c r="D44" s="98"/>
      <c r="E44" s="99"/>
      <c r="F44" s="98"/>
      <c r="G44" s="99"/>
      <c r="H44" s="98"/>
      <c r="I44" s="99"/>
      <c r="J44" s="98"/>
      <c r="K44" s="38"/>
      <c r="AI44" s="408"/>
    </row>
    <row r="45" spans="2:35" ht="18.75" customHeight="1" thickTop="1" thickBot="1" x14ac:dyDescent="0.2">
      <c r="B45" s="100" t="s">
        <v>242</v>
      </c>
      <c r="C45" s="953"/>
      <c r="D45" s="954"/>
      <c r="E45" s="954"/>
      <c r="F45" s="954"/>
      <c r="G45" s="954"/>
      <c r="H45" s="954"/>
      <c r="I45" s="954"/>
      <c r="J45" s="955"/>
      <c r="K45" s="38">
        <f>C46+E46+G46+I46</f>
        <v>406</v>
      </c>
      <c r="L45" s="488" t="s">
        <v>373</v>
      </c>
      <c r="M45" s="86" t="s">
        <v>295</v>
      </c>
      <c r="N45" s="86" t="s">
        <v>284</v>
      </c>
      <c r="O45" s="86" t="s">
        <v>285</v>
      </c>
      <c r="P45" s="86" t="s">
        <v>286</v>
      </c>
      <c r="Q45" s="86" t="s">
        <v>287</v>
      </c>
      <c r="R45" s="86" t="s">
        <v>288</v>
      </c>
      <c r="S45" s="86" t="s">
        <v>289</v>
      </c>
      <c r="T45" s="86" t="s">
        <v>290</v>
      </c>
      <c r="U45" s="86" t="s">
        <v>291</v>
      </c>
      <c r="V45" s="86" t="s">
        <v>296</v>
      </c>
      <c r="W45" s="86" t="s">
        <v>292</v>
      </c>
      <c r="X45" s="86" t="s">
        <v>293</v>
      </c>
      <c r="Y45" s="86" t="s">
        <v>297</v>
      </c>
      <c r="Z45" s="86" t="s">
        <v>200</v>
      </c>
      <c r="AA45" s="86" t="s">
        <v>18</v>
      </c>
      <c r="AB45" s="86" t="s">
        <v>294</v>
      </c>
      <c r="AC45" s="86" t="s">
        <v>201</v>
      </c>
      <c r="AD45" s="54" t="s">
        <v>617</v>
      </c>
      <c r="AI45" s="408"/>
    </row>
    <row r="46" spans="2:35" ht="18.75" customHeight="1" thickTop="1" x14ac:dyDescent="0.15">
      <c r="B46" s="101" t="s">
        <v>34</v>
      </c>
      <c r="C46" s="88">
        <f>IFERROR(INDEX(阻害要因有無×疾患名＿寛解・院内寛解[#All],MATCH($AI46,阻害要因有無×疾患名＿寛解・院内寛解[[#All],[行ラベル]],0),MATCH($AJ$4,阻害要因有無×疾患名＿寛解・院内寛解[#Headers],0)),0)+IFERROR(INDEX(阻害要因有無×疾患名＿寛解・院内寛解[#All],MATCH($AI46,阻害要因有無×疾患名＿寛解・院内寛解[[#All],[行ラベル]],0),MATCH($AK$4,阻害要因有無×疾患名＿寛解・院内寛解[#Headers],0)),0)</f>
        <v>50</v>
      </c>
      <c r="D46" s="89">
        <f>IFERROR(C46/C$40,"-")</f>
        <v>0.76923076923076927</v>
      </c>
      <c r="E46" s="88">
        <f>IFERROR(INDEX(阻害要因有無×疾患名＿寛解・院内寛解[#All],MATCH($AI46,阻害要因有無×疾患名＿寛解・院内寛解[[#All],[行ラベル]],0),MATCH($AL$4,阻害要因有無×疾患名＿寛解・院内寛解[#Headers],0)),0)</f>
        <v>45</v>
      </c>
      <c r="F46" s="89">
        <f>IFERROR(E46/E$40,"-")</f>
        <v>0.77586206896551724</v>
      </c>
      <c r="G46" s="88">
        <f>IFERROR(INDEX(阻害要因有無×疾患名＿寛解・院内寛解[#All],MATCH($AI46,阻害要因有無×疾患名＿寛解・院内寛解[[#All],[行ラベル]],0),MATCH($AP$4,阻害要因有無×疾患名＿寛解・院内寛解[#Headers],0)),0)</f>
        <v>226</v>
      </c>
      <c r="H46" s="89">
        <f>IFERROR(G46/G$40,"-")</f>
        <v>0.86259541984732824</v>
      </c>
      <c r="I46" s="88">
        <f>IFERROR(INDEX(阻害要因有無×疾患名＿寛解・院内寛解[#All],MATCH($AI46,阻害要因有無×疾患名＿寛解・院内寛解[[#All],[行ラベル]],0),MATCH($AQ$4,阻害要因有無×疾患名＿寛解・院内寛解[#Headers],0)),0)+IFERROR(INDEX(阻害要因有無×疾患名＿寛解・院内寛解[#All],MATCH($AI46,阻害要因有無×疾患名＿寛解・院内寛解[[#All],[行ラベル]],0),MATCH($AR$4,阻害要因有無×疾患名＿寛解・院内寛解[#Headers],0)),0)</f>
        <v>85</v>
      </c>
      <c r="J46" s="89">
        <f>IFERROR(I46/I$40,"-")</f>
        <v>0.76576576576576572</v>
      </c>
      <c r="K46" s="38">
        <f>C47+E47+G47+I47</f>
        <v>90</v>
      </c>
      <c r="L46" s="33">
        <v>91</v>
      </c>
      <c r="M46" s="59">
        <v>46</v>
      </c>
      <c r="N46" s="65">
        <v>4</v>
      </c>
      <c r="O46" s="65">
        <v>45</v>
      </c>
      <c r="P46" s="59">
        <v>48</v>
      </c>
      <c r="Q46" s="59">
        <v>226</v>
      </c>
      <c r="R46" s="59">
        <v>45</v>
      </c>
      <c r="S46" s="59">
        <v>40</v>
      </c>
      <c r="T46" s="59">
        <v>14</v>
      </c>
      <c r="U46" s="59">
        <v>0</v>
      </c>
      <c r="V46" s="59">
        <v>3</v>
      </c>
      <c r="W46" s="59">
        <v>5</v>
      </c>
      <c r="X46" s="59">
        <v>6</v>
      </c>
      <c r="Y46" s="59">
        <v>0</v>
      </c>
      <c r="Z46" s="59">
        <v>0</v>
      </c>
      <c r="AA46" s="59">
        <v>2</v>
      </c>
      <c r="AB46" s="59">
        <v>2</v>
      </c>
      <c r="AC46" s="59">
        <v>2</v>
      </c>
      <c r="AD46" s="723">
        <v>0</v>
      </c>
      <c r="AI46" s="408">
        <v>91</v>
      </c>
    </row>
    <row r="47" spans="2:35" ht="18.75" customHeight="1" x14ac:dyDescent="0.15">
      <c r="B47" s="91" t="s">
        <v>35</v>
      </c>
      <c r="C47" s="69">
        <f>IFERROR(INDEX(阻害要因有無×疾患名＿寛解・院内寛解[#All],MATCH($AI47,阻害要因有無×疾患名＿寛解・院内寛解[[#All],[行ラベル]],0),MATCH($AJ$4,阻害要因有無×疾患名＿寛解・院内寛解[#Headers],0)),0)+IFERROR(INDEX(阻害要因有無×疾患名＿寛解・院内寛解[#All],MATCH($AI47,阻害要因有無×疾患名＿寛解・院内寛解[[#All],[行ラベル]],0),MATCH($AK$4,阻害要因有無×疾患名＿寛解・院内寛解[#Headers],0)),0)</f>
        <v>15</v>
      </c>
      <c r="D47" s="68">
        <f>IFERROR(C47/C$40,"-")</f>
        <v>0.23076923076923078</v>
      </c>
      <c r="E47" s="69">
        <f>IFERROR(INDEX(阻害要因有無×疾患名＿寛解・院内寛解[#All],MATCH($AI47,阻害要因有無×疾患名＿寛解・院内寛解[[#All],[行ラベル]],0),MATCH($AL$4,阻害要因有無×疾患名＿寛解・院内寛解[#Headers],0)),0)</f>
        <v>13</v>
      </c>
      <c r="F47" s="68">
        <f>IFERROR(E47/E$40,"-")</f>
        <v>0.22413793103448276</v>
      </c>
      <c r="G47" s="69">
        <f>IFERROR(INDEX(阻害要因有無×疾患名＿寛解・院内寛解[#All],MATCH($AI47,阻害要因有無×疾患名＿寛解・院内寛解[[#All],[行ラベル]],0),MATCH($AP$4,阻害要因有無×疾患名＿寛解・院内寛解[#Headers],0)),0)</f>
        <v>36</v>
      </c>
      <c r="H47" s="68">
        <f>IFERROR(G47/G$40,"-")</f>
        <v>0.13740458015267176</v>
      </c>
      <c r="I47" s="69">
        <f>IFERROR(INDEX(阻害要因有無×疾患名＿寛解・院内寛解[#All],MATCH($AI47,阻害要因有無×疾患名＿寛解・院内寛解[[#All],[行ラベル]],0),MATCH($AQ$4,阻害要因有無×疾患名＿寛解・院内寛解[#Headers],0)),0)+IFERROR(INDEX(阻害要因有無×疾患名＿寛解・院内寛解[#All],MATCH($AI47,阻害要因有無×疾患名＿寛解・院内寛解[[#All],[行ラベル]],0),MATCH($AR$4,阻害要因有無×疾患名＿寛解・院内寛解[#Headers],0)),0)</f>
        <v>26</v>
      </c>
      <c r="J47" s="68">
        <f>IFERROR(I47/I$40,"-")</f>
        <v>0.23423423423423423</v>
      </c>
      <c r="K47" s="38"/>
      <c r="L47" s="33">
        <v>90</v>
      </c>
      <c r="M47" s="59">
        <v>12</v>
      </c>
      <c r="N47" s="65">
        <v>3</v>
      </c>
      <c r="O47" s="65">
        <v>13</v>
      </c>
      <c r="P47" s="59">
        <v>32</v>
      </c>
      <c r="Q47" s="59">
        <v>36</v>
      </c>
      <c r="R47" s="59">
        <v>12</v>
      </c>
      <c r="S47" s="59">
        <v>14</v>
      </c>
      <c r="T47" s="59">
        <v>9</v>
      </c>
      <c r="U47" s="59">
        <v>0</v>
      </c>
      <c r="V47" s="59">
        <v>0</v>
      </c>
      <c r="W47" s="59">
        <v>1</v>
      </c>
      <c r="X47" s="59">
        <v>0</v>
      </c>
      <c r="Y47" s="59">
        <v>0</v>
      </c>
      <c r="Z47" s="59">
        <v>1</v>
      </c>
      <c r="AA47" s="59">
        <v>0</v>
      </c>
      <c r="AB47" s="59">
        <v>0</v>
      </c>
      <c r="AC47" s="59">
        <v>2</v>
      </c>
      <c r="AD47" s="724">
        <v>0</v>
      </c>
      <c r="AI47" s="408">
        <v>90</v>
      </c>
    </row>
    <row r="48" spans="2:35" ht="19.5" customHeight="1" thickBot="1" x14ac:dyDescent="0.2">
      <c r="B48" s="102" t="s">
        <v>264</v>
      </c>
      <c r="C48" s="935"/>
      <c r="D48" s="936"/>
      <c r="E48" s="936"/>
      <c r="F48" s="936"/>
      <c r="G48" s="936"/>
      <c r="H48" s="936"/>
      <c r="I48" s="936"/>
      <c r="J48" s="937"/>
      <c r="K48" s="38">
        <f>C50+E50+G50+I50</f>
        <v>106</v>
      </c>
    </row>
    <row r="49" spans="2:35" ht="18.75" customHeight="1" thickTop="1" thickBot="1" x14ac:dyDescent="0.2">
      <c r="B49" s="938" t="s">
        <v>274</v>
      </c>
      <c r="C49" s="939"/>
      <c r="D49" s="939"/>
      <c r="E49" s="939"/>
      <c r="F49" s="939"/>
      <c r="G49" s="939"/>
      <c r="H49" s="939"/>
      <c r="I49" s="939"/>
      <c r="J49" s="940"/>
      <c r="K49" s="38">
        <f t="shared" ref="K49" si="11">C51+E51+G51+I51</f>
        <v>86</v>
      </c>
      <c r="L49" s="488" t="s">
        <v>619</v>
      </c>
      <c r="M49" s="86" t="s">
        <v>287</v>
      </c>
      <c r="N49" s="86" t="s">
        <v>288</v>
      </c>
      <c r="O49" s="86" t="s">
        <v>286</v>
      </c>
      <c r="P49" s="86" t="s">
        <v>289</v>
      </c>
      <c r="Q49" s="86" t="s">
        <v>285</v>
      </c>
      <c r="R49" s="86" t="s">
        <v>295</v>
      </c>
      <c r="S49" s="86" t="s">
        <v>284</v>
      </c>
      <c r="T49" s="86" t="s">
        <v>18</v>
      </c>
      <c r="U49" s="86" t="s">
        <v>292</v>
      </c>
      <c r="V49" s="86" t="s">
        <v>290</v>
      </c>
      <c r="W49" s="86" t="s">
        <v>296</v>
      </c>
      <c r="X49" s="86" t="s">
        <v>200</v>
      </c>
      <c r="Y49" s="86" t="s">
        <v>294</v>
      </c>
      <c r="Z49" s="86" t="s">
        <v>293</v>
      </c>
      <c r="AA49" s="86" t="s">
        <v>201</v>
      </c>
      <c r="AB49" s="86" t="s">
        <v>297</v>
      </c>
      <c r="AC49" s="86" t="s">
        <v>291</v>
      </c>
      <c r="AD49" s="42" t="s">
        <v>262</v>
      </c>
    </row>
    <row r="50" spans="2:35" ht="37.5" customHeight="1" thickTop="1" x14ac:dyDescent="0.15">
      <c r="B50" s="544" t="s">
        <v>235</v>
      </c>
      <c r="C50" s="62">
        <f>IFERROR(INDEX(阻害要因×疾患名＿寛解・院内寛解[#All],MATCH($AI50,阻害要因×疾患名＿寛解・院内寛解[[#All],[値]],0),MATCH($AJ$4,阻害要因×疾患名＿寛解・院内寛解[#Headers],0)),0)+IFERROR(INDEX(阻害要因×疾患名＿寛解・院内寛解[#All],MATCH($AI50,阻害要因×疾患名＿寛解・院内寛解[[#All],[値]],0),MATCH($AK$4,阻害要因×疾患名＿寛解・院内寛解[#Headers],0)),0)</f>
        <v>14</v>
      </c>
      <c r="D50" s="63">
        <f t="shared" ref="D50:D66" si="12">IFERROR(C50/C$46,"-")</f>
        <v>0.28000000000000003</v>
      </c>
      <c r="E50" s="64">
        <f>IFERROR(INDEX(阻害要因×疾患名＿寛解・院内寛解[#All],MATCH($AI50,阻害要因×疾患名＿寛解・院内寛解[[#All],[値]],0),MATCH($AL$4,阻害要因×疾患名＿寛解・院内寛解[#Headers],0)),0)</f>
        <v>2</v>
      </c>
      <c r="F50" s="63">
        <f t="shared" ref="F50:F66" si="13">IFERROR(E50/E$46,"-")</f>
        <v>4.4444444444444446E-2</v>
      </c>
      <c r="G50" s="64">
        <f>IFERROR(INDEX(阻害要因×疾患名＿寛解・院内寛解[#All],MATCH($AI50,阻害要因×疾患名＿寛解・院内寛解[[#All],[値]],0),MATCH($AP$4,阻害要因×疾患名＿寛解・院内寛解[#Headers],0)),0)</f>
        <v>66</v>
      </c>
      <c r="H50" s="63">
        <f t="shared" ref="H50:H66" si="14">IFERROR(G50/G$46,"-")</f>
        <v>0.29203539823008851</v>
      </c>
      <c r="I50" s="64">
        <f>IFERROR(INDEX(阻害要因×疾患名＿寛解・院内寛解[#All],MATCH($AI50,阻害要因×疾患名＿寛解・院内寛解[[#All],[値]],0),MATCH($AQ$4,阻害要因×疾患名＿寛解・院内寛解[#Headers],0)),0)+IFERROR(INDEX(阻害要因×疾患名＿寛解・院内寛解[#All],MATCH($AI50,阻害要因×疾患名＿寛解・院内寛解[[#All],[値]],0),MATCH($AR$4,阻害要因×疾患名＿寛解・院内寛解[#Headers],0)),0)</f>
        <v>24</v>
      </c>
      <c r="J50" s="63">
        <f t="shared" ref="J50:J66" si="15">IFERROR(I50/I$46,"-")</f>
        <v>0.28235294117647058</v>
      </c>
      <c r="K50" s="38">
        <f>C50+E50+G50+I50</f>
        <v>106</v>
      </c>
      <c r="L50" s="33" t="s">
        <v>309</v>
      </c>
      <c r="M50" s="59">
        <v>66</v>
      </c>
      <c r="N50" s="65">
        <v>11</v>
      </c>
      <c r="O50" s="65">
        <v>10</v>
      </c>
      <c r="P50" s="59">
        <v>13</v>
      </c>
      <c r="Q50" s="59">
        <v>2</v>
      </c>
      <c r="R50" s="59">
        <v>13</v>
      </c>
      <c r="S50" s="59">
        <v>1</v>
      </c>
      <c r="T50" s="59">
        <v>0</v>
      </c>
      <c r="U50" s="59">
        <v>3</v>
      </c>
      <c r="V50" s="59">
        <v>9</v>
      </c>
      <c r="W50" s="59">
        <v>0</v>
      </c>
      <c r="X50" s="59">
        <v>0</v>
      </c>
      <c r="Y50" s="59">
        <v>0</v>
      </c>
      <c r="Z50" s="59">
        <v>2</v>
      </c>
      <c r="AA50" s="59">
        <v>1</v>
      </c>
      <c r="AB50" s="59">
        <v>0</v>
      </c>
      <c r="AC50" s="59">
        <v>0</v>
      </c>
      <c r="AD50" s="723">
        <v>131</v>
      </c>
      <c r="AI50" s="55" t="s">
        <v>309</v>
      </c>
    </row>
    <row r="51" spans="2:35" ht="18.75" customHeight="1" x14ac:dyDescent="0.15">
      <c r="B51" s="104" t="s">
        <v>66</v>
      </c>
      <c r="C51" s="67">
        <f>IFERROR(INDEX(阻害要因×疾患名＿寛解・院内寛解[#All],MATCH($AI51,阻害要因×疾患名＿寛解・院内寛解[[#All],[値]],0),MATCH($AJ$4,阻害要因×疾患名＿寛解・院内寛解[#Headers],0)),0)+IFERROR(INDEX(阻害要因×疾患名＿寛解・院内寛解[#All],MATCH($AI51,阻害要因×疾患名＿寛解・院内寛解[[#All],[値]],0),MATCH($AK$4,阻害要因×疾患名＿寛解・院内寛解[#Headers],0)),0)</f>
        <v>10</v>
      </c>
      <c r="D51" s="72">
        <f t="shared" si="12"/>
        <v>0.2</v>
      </c>
      <c r="E51" s="70">
        <f>IFERROR(INDEX(阻害要因×疾患名＿寛解・院内寛解[#All],MATCH($AI51,阻害要因×疾患名＿寛解・院内寛解[[#All],[値]],0),MATCH($AL$4,阻害要因×疾患名＿寛解・院内寛解[#Headers],0)),0)</f>
        <v>6</v>
      </c>
      <c r="F51" s="72">
        <f t="shared" si="13"/>
        <v>0.13333333333333333</v>
      </c>
      <c r="G51" s="69">
        <f>IFERROR(INDEX(阻害要因×疾患名＿寛解・院内寛解[#All],MATCH($AI51,阻害要因×疾患名＿寛解・院内寛解[[#All],[値]],0),MATCH($AP$4,阻害要因×疾患名＿寛解・院内寛解[#Headers],0)),0)</f>
        <v>60</v>
      </c>
      <c r="H51" s="72">
        <f t="shared" si="14"/>
        <v>0.26548672566371684</v>
      </c>
      <c r="I51" s="69">
        <f>IFERROR(INDEX(阻害要因×疾患名＿寛解・院内寛解[#All],MATCH($AI51,阻害要因×疾患名＿寛解・院内寛解[[#All],[値]],0),MATCH($AQ$4,阻害要因×疾患名＿寛解・院内寛解[#Headers],0)),0)+IFERROR(INDEX(阻害要因×疾患名＿寛解・院内寛解[#All],MATCH($AI51,阻害要因×疾患名＿寛解・院内寛解[[#All],[値]],0),MATCH($AR$4,阻害要因×疾患名＿寛解・院内寛解[#Headers],0)),0)</f>
        <v>10</v>
      </c>
      <c r="J51" s="72">
        <f t="shared" si="15"/>
        <v>0.11764705882352941</v>
      </c>
      <c r="K51" s="38">
        <f t="shared" ref="K51:K69" si="16">C51+E51+G51+I51</f>
        <v>86</v>
      </c>
      <c r="L51" s="55" t="s">
        <v>310</v>
      </c>
      <c r="M51" s="65">
        <v>60</v>
      </c>
      <c r="N51" s="65">
        <v>3</v>
      </c>
      <c r="O51" s="65">
        <v>13</v>
      </c>
      <c r="P51" s="59">
        <v>7</v>
      </c>
      <c r="Q51" s="59">
        <v>6</v>
      </c>
      <c r="R51" s="59">
        <v>10</v>
      </c>
      <c r="S51" s="59">
        <v>0</v>
      </c>
      <c r="T51" s="59">
        <v>0</v>
      </c>
      <c r="U51" s="59">
        <v>0</v>
      </c>
      <c r="V51" s="59">
        <v>1</v>
      </c>
      <c r="W51" s="59">
        <v>0</v>
      </c>
      <c r="X51" s="59">
        <v>0</v>
      </c>
      <c r="Y51" s="59">
        <v>0</v>
      </c>
      <c r="Z51" s="59">
        <v>3</v>
      </c>
      <c r="AA51" s="59">
        <v>0</v>
      </c>
      <c r="AB51" s="59">
        <v>0</v>
      </c>
      <c r="AC51" s="59">
        <v>0</v>
      </c>
      <c r="AD51" s="59">
        <v>103</v>
      </c>
      <c r="AI51" s="55" t="s">
        <v>310</v>
      </c>
    </row>
    <row r="52" spans="2:35" ht="18.75" customHeight="1" x14ac:dyDescent="0.15">
      <c r="B52" s="104" t="s">
        <v>38</v>
      </c>
      <c r="C52" s="67">
        <f>IFERROR(INDEX(阻害要因×疾患名＿寛解・院内寛解[#All],MATCH($AI52,阻害要因×疾患名＿寛解・院内寛解[[#All],[値]],0),MATCH($AJ$4,阻害要因×疾患名＿寛解・院内寛解[#Headers],0)),0)+IFERROR(INDEX(阻害要因×疾患名＿寛解・院内寛解[#All],MATCH($AI52,阻害要因×疾患名＿寛解・院内寛解[[#All],[値]],0),MATCH($AK$4,阻害要因×疾患名＿寛解・院内寛解[#Headers],0)),0)</f>
        <v>1</v>
      </c>
      <c r="D52" s="72">
        <f t="shared" si="12"/>
        <v>0.02</v>
      </c>
      <c r="E52" s="69">
        <f>IFERROR(INDEX(阻害要因×疾患名＿寛解・院内寛解[#All],MATCH($AI52,阻害要因×疾患名＿寛解・院内寛解[[#All],[値]],0),MATCH($AL$4,阻害要因×疾患名＿寛解・院内寛解[#Headers],0)),0)</f>
        <v>3</v>
      </c>
      <c r="F52" s="72">
        <f t="shared" si="13"/>
        <v>6.6666666666666666E-2</v>
      </c>
      <c r="G52" s="69">
        <f>IFERROR(INDEX(阻害要因×疾患名＿寛解・院内寛解[#All],MATCH($AI52,阻害要因×疾患名＿寛解・院内寛解[[#All],[値]],0),MATCH($AP$4,阻害要因×疾患名＿寛解・院内寛解[#Headers],0)),0)</f>
        <v>9</v>
      </c>
      <c r="H52" s="72">
        <f t="shared" si="14"/>
        <v>3.9823008849557522E-2</v>
      </c>
      <c r="I52" s="69">
        <f>IFERROR(INDEX(阻害要因×疾患名＿寛解・院内寛解[#All],MATCH($AI52,阻害要因×疾患名＿寛解・院内寛解[[#All],[値]],0),MATCH($AQ$4,阻害要因×疾患名＿寛解・院内寛解[#Headers],0)),0)+IFERROR(INDEX(阻害要因×疾患名＿寛解・院内寛解[#All],MATCH($AI52,阻害要因×疾患名＿寛解・院内寛解[[#All],[値]],0),MATCH($AR$4,阻害要因×疾患名＿寛解・院内寛解[#Headers],0)),0)</f>
        <v>3</v>
      </c>
      <c r="J52" s="72">
        <f t="shared" si="15"/>
        <v>3.5294117647058823E-2</v>
      </c>
      <c r="K52" s="38">
        <f t="shared" si="16"/>
        <v>16</v>
      </c>
      <c r="L52" s="55" t="s">
        <v>166</v>
      </c>
      <c r="M52" s="65">
        <v>9</v>
      </c>
      <c r="N52" s="65">
        <v>2</v>
      </c>
      <c r="O52" s="65">
        <v>1</v>
      </c>
      <c r="P52" s="59">
        <v>1</v>
      </c>
      <c r="Q52" s="59">
        <v>3</v>
      </c>
      <c r="R52" s="59">
        <v>1</v>
      </c>
      <c r="S52" s="59">
        <v>0</v>
      </c>
      <c r="T52" s="59">
        <v>0</v>
      </c>
      <c r="U52" s="59">
        <v>2</v>
      </c>
      <c r="V52" s="59">
        <v>0</v>
      </c>
      <c r="W52" s="59">
        <v>0</v>
      </c>
      <c r="X52" s="59">
        <v>0</v>
      </c>
      <c r="Y52" s="59">
        <v>0</v>
      </c>
      <c r="Z52" s="59">
        <v>1</v>
      </c>
      <c r="AA52" s="59">
        <v>1</v>
      </c>
      <c r="AB52" s="59">
        <v>0</v>
      </c>
      <c r="AC52" s="59">
        <v>0</v>
      </c>
      <c r="AD52" s="59">
        <v>21</v>
      </c>
      <c r="AI52" s="55" t="s">
        <v>166</v>
      </c>
    </row>
    <row r="53" spans="2:35" ht="18.75" customHeight="1" x14ac:dyDescent="0.15">
      <c r="B53" s="104" t="s">
        <v>39</v>
      </c>
      <c r="C53" s="69">
        <f>IFERROR(INDEX(阻害要因×疾患名＿寛解・院内寛解[#All],MATCH($AI53,阻害要因×疾患名＿寛解・院内寛解[[#All],[値]],0),MATCH($AJ$4,阻害要因×疾患名＿寛解・院内寛解[#Headers],0)),0)+IFERROR(INDEX(阻害要因×疾患名＿寛解・院内寛解[#All],MATCH($AI53,阻害要因×疾患名＿寛解・院内寛解[[#All],[値]],0),MATCH($AK$4,阻害要因×疾患名＿寛解・院内寛解[#Headers],0)),0)</f>
        <v>7</v>
      </c>
      <c r="D53" s="68">
        <f t="shared" si="12"/>
        <v>0.14000000000000001</v>
      </c>
      <c r="E53" s="69">
        <f>IFERROR(INDEX(阻害要因×疾患名＿寛解・院内寛解[#All],MATCH($AI53,阻害要因×疾患名＿寛解・院内寛解[[#All],[値]],0),MATCH($AL$4,阻害要因×疾患名＿寛解・院内寛解[#Headers],0)),0)</f>
        <v>15</v>
      </c>
      <c r="F53" s="68">
        <f t="shared" si="13"/>
        <v>0.33333333333333331</v>
      </c>
      <c r="G53" s="69">
        <f>IFERROR(INDEX(阻害要因×疾患名＿寛解・院内寛解[#All],MATCH($AI53,阻害要因×疾患名＿寛解・院内寛解[[#All],[値]],0),MATCH($AP$4,阻害要因×疾患名＿寛解・院内寛解[#Headers],0)),0)</f>
        <v>90</v>
      </c>
      <c r="H53" s="68">
        <f t="shared" si="14"/>
        <v>0.39823008849557523</v>
      </c>
      <c r="I53" s="69">
        <f>IFERROR(INDEX(阻害要因×疾患名＿寛解・院内寛解[#All],MATCH($AI53,阻害要因×疾患名＿寛解・院内寛解[[#All],[値]],0),MATCH($AQ$4,阻害要因×疾患名＿寛解・院内寛解[#Headers],0)),0)+IFERROR(INDEX(阻害要因×疾患名＿寛解・院内寛解[#All],MATCH($AI53,阻害要因×疾患名＿寛解・院内寛解[[#All],[値]],0),MATCH($AR$4,阻害要因×疾患名＿寛解・院内寛解[#Headers],0)),0)</f>
        <v>38</v>
      </c>
      <c r="J53" s="68">
        <f t="shared" si="15"/>
        <v>0.44705882352941179</v>
      </c>
      <c r="K53" s="38">
        <f t="shared" si="16"/>
        <v>150</v>
      </c>
      <c r="L53" s="55" t="s">
        <v>167</v>
      </c>
      <c r="M53" s="65">
        <v>90</v>
      </c>
      <c r="N53" s="65">
        <v>23</v>
      </c>
      <c r="O53" s="65">
        <v>13</v>
      </c>
      <c r="P53" s="59">
        <v>15</v>
      </c>
      <c r="Q53" s="59">
        <v>15</v>
      </c>
      <c r="R53" s="59">
        <v>6</v>
      </c>
      <c r="S53" s="59">
        <v>1</v>
      </c>
      <c r="T53" s="59">
        <v>1</v>
      </c>
      <c r="U53" s="59">
        <v>1</v>
      </c>
      <c r="V53" s="59">
        <v>11</v>
      </c>
      <c r="W53" s="59">
        <v>1</v>
      </c>
      <c r="X53" s="59">
        <v>0</v>
      </c>
      <c r="Y53" s="59">
        <v>1</v>
      </c>
      <c r="Z53" s="59">
        <v>2</v>
      </c>
      <c r="AA53" s="59">
        <v>0</v>
      </c>
      <c r="AB53" s="59">
        <v>0</v>
      </c>
      <c r="AC53" s="59">
        <v>0</v>
      </c>
      <c r="AD53" s="59">
        <v>180</v>
      </c>
      <c r="AI53" s="55" t="s">
        <v>167</v>
      </c>
    </row>
    <row r="54" spans="2:35" ht="18.75" customHeight="1" x14ac:dyDescent="0.15">
      <c r="B54" s="104" t="s">
        <v>40</v>
      </c>
      <c r="C54" s="69">
        <f>IFERROR(INDEX(阻害要因×疾患名＿寛解・院内寛解[#All],MATCH($AI54,阻害要因×疾患名＿寛解・院内寛解[[#All],[値]],0),MATCH($AJ$4,阻害要因×疾患名＿寛解・院内寛解[#Headers],0)),0)+IFERROR(INDEX(阻害要因×疾患名＿寛解・院内寛解[#All],MATCH($AI54,阻害要因×疾患名＿寛解・院内寛解[[#All],[値]],0),MATCH($AK$4,阻害要因×疾患名＿寛解・院内寛解[#Headers],0)),0)</f>
        <v>15</v>
      </c>
      <c r="D54" s="68">
        <f t="shared" si="12"/>
        <v>0.3</v>
      </c>
      <c r="E54" s="69">
        <f>IFERROR(INDEX(阻害要因×疾患名＿寛解・院内寛解[#All],MATCH($AI54,阻害要因×疾患名＿寛解・院内寛解[[#All],[値]],0),MATCH($AL$4,阻害要因×疾患名＿寛解・院内寛解[#Headers],0)),0)</f>
        <v>15</v>
      </c>
      <c r="F54" s="68">
        <f t="shared" si="13"/>
        <v>0.33333333333333331</v>
      </c>
      <c r="G54" s="69">
        <f>IFERROR(INDEX(阻害要因×疾患名＿寛解・院内寛解[#All],MATCH($AI54,阻害要因×疾患名＿寛解・院内寛解[[#All],[値]],0),MATCH($AP$4,阻害要因×疾患名＿寛解・院内寛解[#Headers],0)),0)</f>
        <v>76</v>
      </c>
      <c r="H54" s="68">
        <f t="shared" si="14"/>
        <v>0.33628318584070799</v>
      </c>
      <c r="I54" s="69">
        <f>IFERROR(INDEX(阻害要因×疾患名＿寛解・院内寛解[#All],MATCH($AI54,阻害要因×疾患名＿寛解・院内寛解[[#All],[値]],0),MATCH($AQ$4,阻害要因×疾患名＿寛解・院内寛解[#Headers],0)),0)+IFERROR(INDEX(阻害要因×疾患名＿寛解・院内寛解[#All],MATCH($AI54,阻害要因×疾患名＿寛解・院内寛解[[#All],[値]],0),MATCH($AR$4,阻害要因×疾患名＿寛解・院内寛解[#Headers],0)),0)</f>
        <v>21</v>
      </c>
      <c r="J54" s="68">
        <f t="shared" si="15"/>
        <v>0.24705882352941178</v>
      </c>
      <c r="K54" s="38">
        <f t="shared" si="16"/>
        <v>127</v>
      </c>
      <c r="L54" s="55" t="s">
        <v>168</v>
      </c>
      <c r="M54" s="65">
        <v>76</v>
      </c>
      <c r="N54" s="65">
        <v>10</v>
      </c>
      <c r="O54" s="65">
        <v>14</v>
      </c>
      <c r="P54" s="59">
        <v>11</v>
      </c>
      <c r="Q54" s="59">
        <v>15</v>
      </c>
      <c r="R54" s="59">
        <v>15</v>
      </c>
      <c r="S54" s="59">
        <v>0</v>
      </c>
      <c r="T54" s="59">
        <v>0</v>
      </c>
      <c r="U54" s="59">
        <v>2</v>
      </c>
      <c r="V54" s="59">
        <v>3</v>
      </c>
      <c r="W54" s="59">
        <v>1</v>
      </c>
      <c r="X54" s="59">
        <v>0</v>
      </c>
      <c r="Y54" s="59">
        <v>0</v>
      </c>
      <c r="Z54" s="59">
        <v>3</v>
      </c>
      <c r="AA54" s="59">
        <v>0</v>
      </c>
      <c r="AB54" s="59">
        <v>0</v>
      </c>
      <c r="AC54" s="59">
        <v>0</v>
      </c>
      <c r="AD54" s="59">
        <v>150</v>
      </c>
      <c r="AI54" s="55" t="s">
        <v>168</v>
      </c>
    </row>
    <row r="55" spans="2:35" ht="18.75" customHeight="1" x14ac:dyDescent="0.15">
      <c r="B55" s="104" t="s">
        <v>41</v>
      </c>
      <c r="C55" s="71">
        <f>IFERROR(INDEX(阻害要因×疾患名＿寛解・院内寛解[#All],MATCH($AI55,阻害要因×疾患名＿寛解・院内寛解[[#All],[値]],0),MATCH($AJ$4,阻害要因×疾患名＿寛解・院内寛解[#Headers],0)),0)+IFERROR(INDEX(阻害要因×疾患名＿寛解・院内寛解[#All],MATCH($AI55,阻害要因×疾患名＿寛解・院内寛解[[#All],[値]],0),MATCH($AK$4,阻害要因×疾患名＿寛解・院内寛解[#Headers],0)),0)</f>
        <v>5</v>
      </c>
      <c r="D55" s="81">
        <f t="shared" si="12"/>
        <v>0.1</v>
      </c>
      <c r="E55" s="71">
        <f>IFERROR(INDEX(阻害要因×疾患名＿寛解・院内寛解[#All],MATCH($AI55,阻害要因×疾患名＿寛解・院内寛解[[#All],[値]],0),MATCH($AL$4,阻害要因×疾患名＿寛解・院内寛解[#Headers],0)),0)</f>
        <v>3</v>
      </c>
      <c r="F55" s="81">
        <f t="shared" si="13"/>
        <v>6.6666666666666666E-2</v>
      </c>
      <c r="G55" s="71">
        <f>IFERROR(INDEX(阻害要因×疾患名＿寛解・院内寛解[#All],MATCH($AI55,阻害要因×疾患名＿寛解・院内寛解[[#All],[値]],0),MATCH($AP$4,阻害要因×疾患名＿寛解・院内寛解[#Headers],0)),0)</f>
        <v>65</v>
      </c>
      <c r="H55" s="81">
        <f t="shared" si="14"/>
        <v>0.28761061946902655</v>
      </c>
      <c r="I55" s="71">
        <f>IFERROR(INDEX(阻害要因×疾患名＿寛解・院内寛解[#All],MATCH($AI55,阻害要因×疾患名＿寛解・院内寛解[[#All],[値]],0),MATCH($AQ$4,阻害要因×疾患名＿寛解・院内寛解[#Headers],0)),0)+IFERROR(INDEX(阻害要因×疾患名＿寛解・院内寛解[#All],MATCH($AI55,阻害要因×疾患名＿寛解・院内寛解[[#All],[値]],0),MATCH($AR$4,阻害要因×疾患名＿寛解・院内寛解[#Headers],0)),0)</f>
        <v>35</v>
      </c>
      <c r="J55" s="81">
        <f t="shared" si="15"/>
        <v>0.41176470588235292</v>
      </c>
      <c r="K55" s="38">
        <f t="shared" si="16"/>
        <v>108</v>
      </c>
      <c r="L55" s="55" t="s">
        <v>169</v>
      </c>
      <c r="M55" s="65">
        <v>65</v>
      </c>
      <c r="N55" s="65">
        <v>20</v>
      </c>
      <c r="O55" s="65">
        <v>8</v>
      </c>
      <c r="P55" s="59">
        <v>15</v>
      </c>
      <c r="Q55" s="59">
        <v>3</v>
      </c>
      <c r="R55" s="59">
        <v>5</v>
      </c>
      <c r="S55" s="59">
        <v>0</v>
      </c>
      <c r="T55" s="59">
        <v>0</v>
      </c>
      <c r="U55" s="59">
        <v>2</v>
      </c>
      <c r="V55" s="59">
        <v>6</v>
      </c>
      <c r="W55" s="59">
        <v>1</v>
      </c>
      <c r="X55" s="59">
        <v>0</v>
      </c>
      <c r="Y55" s="59">
        <v>1</v>
      </c>
      <c r="Z55" s="59">
        <v>3</v>
      </c>
      <c r="AA55" s="59">
        <v>0</v>
      </c>
      <c r="AB55" s="59">
        <v>0</v>
      </c>
      <c r="AC55" s="59">
        <v>0</v>
      </c>
      <c r="AD55" s="59">
        <v>129</v>
      </c>
      <c r="AI55" s="55" t="s">
        <v>169</v>
      </c>
    </row>
    <row r="56" spans="2:35" ht="18.75" customHeight="1" x14ac:dyDescent="0.15">
      <c r="B56" s="104" t="s">
        <v>42</v>
      </c>
      <c r="C56" s="69">
        <f>IFERROR(INDEX(阻害要因×疾患名＿寛解・院内寛解[#All],MATCH($AI56,阻害要因×疾患名＿寛解・院内寛解[[#All],[値]],0),MATCH($AJ$4,阻害要因×疾患名＿寛解・院内寛解[#Headers],0)),0)+IFERROR(INDEX(阻害要因×疾患名＿寛解・院内寛解[#All],MATCH($AI56,阻害要因×疾患名＿寛解・院内寛解[[#All],[値]],0),MATCH($AK$4,阻害要因×疾患名＿寛解・院内寛解[#Headers],0)),0)</f>
        <v>4</v>
      </c>
      <c r="D56" s="68">
        <f t="shared" si="12"/>
        <v>0.08</v>
      </c>
      <c r="E56" s="69">
        <f>IFERROR(INDEX(阻害要因×疾患名＿寛解・院内寛解[#All],MATCH($AI56,阻害要因×疾患名＿寛解・院内寛解[[#All],[値]],0),MATCH($AL$4,阻害要因×疾患名＿寛解・院内寛解[#Headers],0)),0)</f>
        <v>1</v>
      </c>
      <c r="F56" s="68">
        <f t="shared" si="13"/>
        <v>2.2222222222222223E-2</v>
      </c>
      <c r="G56" s="69">
        <f>IFERROR(INDEX(阻害要因×疾患名＿寛解・院内寛解[#All],MATCH($AI56,阻害要因×疾患名＿寛解・院内寛解[[#All],[値]],0),MATCH($AP$4,阻害要因×疾患名＿寛解・院内寛解[#Headers],0)),0)</f>
        <v>17</v>
      </c>
      <c r="H56" s="68">
        <f t="shared" si="14"/>
        <v>7.5221238938053103E-2</v>
      </c>
      <c r="I56" s="69">
        <f>IFERROR(INDEX(阻害要因×疾患名＿寛解・院内寛解[#All],MATCH($AI56,阻害要因×疾患名＿寛解・院内寛解[[#All],[値]],0),MATCH($AQ$4,阻害要因×疾患名＿寛解・院内寛解[#Headers],0)),0)+IFERROR(INDEX(阻害要因×疾患名＿寛解・院内寛解[#All],MATCH($AI56,阻害要因×疾患名＿寛解・院内寛解[[#All],[値]],0),MATCH($AR$4,阻害要因×疾患名＿寛解・院内寛解[#Headers],0)),0)</f>
        <v>9</v>
      </c>
      <c r="J56" s="68">
        <f t="shared" si="15"/>
        <v>0.10588235294117647</v>
      </c>
      <c r="K56" s="38">
        <f t="shared" si="16"/>
        <v>31</v>
      </c>
      <c r="L56" s="55" t="s">
        <v>170</v>
      </c>
      <c r="M56" s="65">
        <v>17</v>
      </c>
      <c r="N56" s="65">
        <v>4</v>
      </c>
      <c r="O56" s="65">
        <v>3</v>
      </c>
      <c r="P56" s="59">
        <v>5</v>
      </c>
      <c r="Q56" s="59">
        <v>1</v>
      </c>
      <c r="R56" s="59">
        <v>4</v>
      </c>
      <c r="S56" s="59">
        <v>0</v>
      </c>
      <c r="T56" s="59">
        <v>0</v>
      </c>
      <c r="U56" s="59">
        <v>1</v>
      </c>
      <c r="V56" s="59">
        <v>1</v>
      </c>
      <c r="W56" s="59">
        <v>0</v>
      </c>
      <c r="X56" s="59">
        <v>0</v>
      </c>
      <c r="Y56" s="59">
        <v>0</v>
      </c>
      <c r="Z56" s="59">
        <v>2</v>
      </c>
      <c r="AA56" s="59">
        <v>0</v>
      </c>
      <c r="AB56" s="59">
        <v>0</v>
      </c>
      <c r="AC56" s="59">
        <v>0</v>
      </c>
      <c r="AD56" s="59">
        <v>38</v>
      </c>
      <c r="AI56" s="55" t="s">
        <v>170</v>
      </c>
    </row>
    <row r="57" spans="2:35" ht="18.75" customHeight="1" x14ac:dyDescent="0.15">
      <c r="B57" s="104" t="s">
        <v>43</v>
      </c>
      <c r="C57" s="69">
        <f>IFERROR(INDEX(阻害要因×疾患名＿寛解・院内寛解[#All],MATCH($AI57,阻害要因×疾患名＿寛解・院内寛解[[#All],[値]],0),MATCH($AJ$4,阻害要因×疾患名＿寛解・院内寛解[#Headers],0)),0)+IFERROR(INDEX(阻害要因×疾患名＿寛解・院内寛解[#All],MATCH($AI57,阻害要因×疾患名＿寛解・院内寛解[[#All],[値]],0),MATCH($AK$4,阻害要因×疾患名＿寛解・院内寛解[#Headers],0)),0)</f>
        <v>15</v>
      </c>
      <c r="D57" s="68">
        <f t="shared" si="12"/>
        <v>0.3</v>
      </c>
      <c r="E57" s="69">
        <f>IFERROR(INDEX(阻害要因×疾患名＿寛解・院内寛解[#All],MATCH($AI57,阻害要因×疾患名＿寛解・院内寛解[[#All],[値]],0),MATCH($AL$4,阻害要因×疾患名＿寛解・院内寛解[#Headers],0)),0)</f>
        <v>5</v>
      </c>
      <c r="F57" s="68">
        <f t="shared" si="13"/>
        <v>0.1111111111111111</v>
      </c>
      <c r="G57" s="69">
        <f>IFERROR(INDEX(阻害要因×疾患名＿寛解・院内寛解[#All],MATCH($AI57,阻害要因×疾患名＿寛解・院内寛解[[#All],[値]],0),MATCH($AP$4,阻害要因×疾患名＿寛解・院内寛解[#Headers],0)),0)</f>
        <v>61</v>
      </c>
      <c r="H57" s="68">
        <f t="shared" si="14"/>
        <v>0.26991150442477874</v>
      </c>
      <c r="I57" s="69">
        <f>IFERROR(INDEX(阻害要因×疾患名＿寛解・院内寛解[#All],MATCH($AI57,阻害要因×疾患名＿寛解・院内寛解[[#All],[値]],0),MATCH($AQ$4,阻害要因×疾患名＿寛解・院内寛解[#Headers],0)),0)+IFERROR(INDEX(阻害要因×疾患名＿寛解・院内寛解[#All],MATCH($AI57,阻害要因×疾患名＿寛解・院内寛解[[#All],[値]],0),MATCH($AR$4,阻害要因×疾患名＿寛解・院内寛解[#Headers],0)),0)</f>
        <v>28</v>
      </c>
      <c r="J57" s="68">
        <f t="shared" si="15"/>
        <v>0.32941176470588235</v>
      </c>
      <c r="K57" s="38">
        <f t="shared" si="16"/>
        <v>109</v>
      </c>
      <c r="L57" s="55" t="s">
        <v>171</v>
      </c>
      <c r="M57" s="65">
        <v>61</v>
      </c>
      <c r="N57" s="65">
        <v>13</v>
      </c>
      <c r="O57" s="65">
        <v>8</v>
      </c>
      <c r="P57" s="59">
        <v>15</v>
      </c>
      <c r="Q57" s="59">
        <v>5</v>
      </c>
      <c r="R57" s="59">
        <v>15</v>
      </c>
      <c r="S57" s="59">
        <v>0</v>
      </c>
      <c r="T57" s="59">
        <v>0</v>
      </c>
      <c r="U57" s="59">
        <v>1</v>
      </c>
      <c r="V57" s="59">
        <v>5</v>
      </c>
      <c r="W57" s="59">
        <v>2</v>
      </c>
      <c r="X57" s="59">
        <v>0</v>
      </c>
      <c r="Y57" s="59">
        <v>1</v>
      </c>
      <c r="Z57" s="59">
        <v>2</v>
      </c>
      <c r="AA57" s="59">
        <v>0</v>
      </c>
      <c r="AB57" s="59">
        <v>0</v>
      </c>
      <c r="AC57" s="59">
        <v>0</v>
      </c>
      <c r="AD57" s="59">
        <v>128</v>
      </c>
      <c r="AI57" s="55" t="s">
        <v>171</v>
      </c>
    </row>
    <row r="58" spans="2:35" ht="18.75" customHeight="1" x14ac:dyDescent="0.15">
      <c r="B58" s="104" t="s">
        <v>44</v>
      </c>
      <c r="C58" s="69">
        <f>IFERROR(INDEX(阻害要因×疾患名＿寛解・院内寛解[#All],MATCH($AI58,阻害要因×疾患名＿寛解・院内寛解[[#All],[値]],0),MATCH($AJ$4,阻害要因×疾患名＿寛解・院内寛解[#Headers],0)),0)+IFERROR(INDEX(阻害要因×疾患名＿寛解・院内寛解[#All],MATCH($AI58,阻害要因×疾患名＿寛解・院内寛解[[#All],[値]],0),MATCH($AK$4,阻害要因×疾患名＿寛解・院内寛解[#Headers],0)),0)</f>
        <v>8</v>
      </c>
      <c r="D58" s="68">
        <f t="shared" si="12"/>
        <v>0.16</v>
      </c>
      <c r="E58" s="69">
        <f>IFERROR(INDEX(阻害要因×疾患名＿寛解・院内寛解[#All],MATCH($AI58,阻害要因×疾患名＿寛解・院内寛解[[#All],[値]],0),MATCH($AL$4,阻害要因×疾患名＿寛解・院内寛解[#Headers],0)),0)</f>
        <v>3</v>
      </c>
      <c r="F58" s="68">
        <f t="shared" si="13"/>
        <v>6.6666666666666666E-2</v>
      </c>
      <c r="G58" s="69">
        <f>IFERROR(INDEX(阻害要因×疾患名＿寛解・院内寛解[#All],MATCH($AI58,阻害要因×疾患名＿寛解・院内寛解[[#All],[値]],0),MATCH($AP$4,阻害要因×疾患名＿寛解・院内寛解[#Headers],0)),0)</f>
        <v>37</v>
      </c>
      <c r="H58" s="68">
        <f t="shared" si="14"/>
        <v>0.16371681415929204</v>
      </c>
      <c r="I58" s="69">
        <f>IFERROR(INDEX(阻害要因×疾患名＿寛解・院内寛解[#All],MATCH($AI58,阻害要因×疾患名＿寛解・院内寛解[[#All],[値]],0),MATCH($AQ$4,阻害要因×疾患名＿寛解・院内寛解[#Headers],0)),0)+IFERROR(INDEX(阻害要因×疾患名＿寛解・院内寛解[#All],MATCH($AI58,阻害要因×疾患名＿寛解・院内寛解[[#All],[値]],0),MATCH($AR$4,阻害要因×疾患名＿寛解・院内寛解[#Headers],0)),0)</f>
        <v>7</v>
      </c>
      <c r="J58" s="68">
        <f t="shared" si="15"/>
        <v>8.2352941176470587E-2</v>
      </c>
      <c r="K58" s="38">
        <f t="shared" si="16"/>
        <v>55</v>
      </c>
      <c r="L58" s="55" t="s">
        <v>172</v>
      </c>
      <c r="M58" s="65">
        <v>37</v>
      </c>
      <c r="N58" s="65">
        <v>4</v>
      </c>
      <c r="O58" s="65">
        <v>12</v>
      </c>
      <c r="P58" s="59">
        <v>3</v>
      </c>
      <c r="Q58" s="59">
        <v>3</v>
      </c>
      <c r="R58" s="59">
        <v>8</v>
      </c>
      <c r="S58" s="59">
        <v>0</v>
      </c>
      <c r="T58" s="59">
        <v>0</v>
      </c>
      <c r="U58" s="59">
        <v>0</v>
      </c>
      <c r="V58" s="59">
        <v>1</v>
      </c>
      <c r="W58" s="59">
        <v>0</v>
      </c>
      <c r="X58" s="59">
        <v>0</v>
      </c>
      <c r="Y58" s="59">
        <v>1</v>
      </c>
      <c r="Z58" s="59">
        <v>2</v>
      </c>
      <c r="AA58" s="59">
        <v>0</v>
      </c>
      <c r="AB58" s="59">
        <v>0</v>
      </c>
      <c r="AC58" s="59">
        <v>0</v>
      </c>
      <c r="AD58" s="59">
        <v>71</v>
      </c>
      <c r="AI58" s="55" t="s">
        <v>172</v>
      </c>
    </row>
    <row r="59" spans="2:35" ht="18.75" customHeight="1" x14ac:dyDescent="0.15">
      <c r="B59" s="104" t="s">
        <v>246</v>
      </c>
      <c r="C59" s="69">
        <f>IFERROR(INDEX(阻害要因×疾患名＿寛解・院内寛解[#All],MATCH($AI59,阻害要因×疾患名＿寛解・院内寛解[[#All],[値]],0),MATCH($AJ$4,阻害要因×疾患名＿寛解・院内寛解[#Headers],0)),0)+IFERROR(INDEX(阻害要因×疾患名＿寛解・院内寛解[#All],MATCH($AI59,阻害要因×疾患名＿寛解・院内寛解[[#All],[値]],0),MATCH($AK$4,阻害要因×疾患名＿寛解・院内寛解[#Headers],0)),0)</f>
        <v>10</v>
      </c>
      <c r="D59" s="68">
        <f t="shared" si="12"/>
        <v>0.2</v>
      </c>
      <c r="E59" s="69">
        <f>IFERROR(INDEX(阻害要因×疾患名＿寛解・院内寛解[#All],MATCH($AI59,阻害要因×疾患名＿寛解・院内寛解[[#All],[値]],0),MATCH($AL$4,阻害要因×疾患名＿寛解・院内寛解[#Headers],0)),0)</f>
        <v>9</v>
      </c>
      <c r="F59" s="68">
        <f t="shared" si="13"/>
        <v>0.2</v>
      </c>
      <c r="G59" s="69">
        <f>IFERROR(INDEX(阻害要因×疾患名＿寛解・院内寛解[#All],MATCH($AI59,阻害要因×疾患名＿寛解・院内寛解[[#All],[値]],0),MATCH($AP$4,阻害要因×疾患名＿寛解・院内寛解[#Headers],0)),0)</f>
        <v>58</v>
      </c>
      <c r="H59" s="68">
        <f t="shared" si="14"/>
        <v>0.25663716814159293</v>
      </c>
      <c r="I59" s="69">
        <f>IFERROR(INDEX(阻害要因×疾患名＿寛解・院内寛解[#All],MATCH($AI59,阻害要因×疾患名＿寛解・院内寛解[[#All],[値]],0),MATCH($AQ$4,阻害要因×疾患名＿寛解・院内寛解[#Headers],0)),0)+IFERROR(INDEX(阻害要因×疾患名＿寛解・院内寛解[#All],MATCH($AI59,阻害要因×疾患名＿寛解・院内寛解[[#All],[値]],0),MATCH($AR$4,阻害要因×疾患名＿寛解・院内寛解[#Headers],0)),0)</f>
        <v>20</v>
      </c>
      <c r="J59" s="68">
        <f t="shared" si="15"/>
        <v>0.23529411764705882</v>
      </c>
      <c r="K59" s="38">
        <f t="shared" si="16"/>
        <v>97</v>
      </c>
      <c r="L59" s="55" t="s">
        <v>173</v>
      </c>
      <c r="M59" s="65">
        <v>58</v>
      </c>
      <c r="N59" s="65">
        <v>11</v>
      </c>
      <c r="O59" s="65">
        <v>18</v>
      </c>
      <c r="P59" s="59">
        <v>9</v>
      </c>
      <c r="Q59" s="59">
        <v>9</v>
      </c>
      <c r="R59" s="59">
        <v>10</v>
      </c>
      <c r="S59" s="59">
        <v>0</v>
      </c>
      <c r="T59" s="59">
        <v>0</v>
      </c>
      <c r="U59" s="59">
        <v>1</v>
      </c>
      <c r="V59" s="59">
        <v>1</v>
      </c>
      <c r="W59" s="59">
        <v>0</v>
      </c>
      <c r="X59" s="59">
        <v>0</v>
      </c>
      <c r="Y59" s="59">
        <v>0</v>
      </c>
      <c r="Z59" s="59">
        <v>1</v>
      </c>
      <c r="AA59" s="59">
        <v>0</v>
      </c>
      <c r="AB59" s="59">
        <v>0</v>
      </c>
      <c r="AC59" s="59">
        <v>0</v>
      </c>
      <c r="AD59" s="59">
        <v>118</v>
      </c>
      <c r="AI59" s="55" t="s">
        <v>173</v>
      </c>
    </row>
    <row r="60" spans="2:35" ht="18.75" customHeight="1" x14ac:dyDescent="0.15">
      <c r="B60" s="104" t="s">
        <v>46</v>
      </c>
      <c r="C60" s="105">
        <f>IFERROR(INDEX(阻害要因×疾患名＿寛解・院内寛解[#All],MATCH($AI60,阻害要因×疾患名＿寛解・院内寛解[[#All],[値]],0),MATCH($AJ$4,阻害要因×疾患名＿寛解・院内寛解[#Headers],0)),0)+IFERROR(INDEX(阻害要因×疾患名＿寛解・院内寛解[#All],MATCH($AI60,阻害要因×疾患名＿寛解・院内寛解[[#All],[値]],0),MATCH($AK$4,阻害要因×疾患名＿寛解・院内寛解[#Headers],0)),0)</f>
        <v>22</v>
      </c>
      <c r="D60" s="68">
        <f t="shared" si="12"/>
        <v>0.44</v>
      </c>
      <c r="E60" s="69">
        <f>IFERROR(INDEX(阻害要因×疾患名＿寛解・院内寛解[#All],MATCH($AI60,阻害要因×疾患名＿寛解・院内寛解[[#All],[値]],0),MATCH($AL$4,阻害要因×疾患名＿寛解・院内寛解[#Headers],0)),0)</f>
        <v>16</v>
      </c>
      <c r="F60" s="68">
        <f t="shared" si="13"/>
        <v>0.35555555555555557</v>
      </c>
      <c r="G60" s="69">
        <f>IFERROR(INDEX(阻害要因×疾患名＿寛解・院内寛解[#All],MATCH($AI60,阻害要因×疾患名＿寛解・院内寛解[[#All],[値]],0),MATCH($AP$4,阻害要因×疾患名＿寛解・院内寛解[#Headers],0)),0)</f>
        <v>64</v>
      </c>
      <c r="H60" s="68">
        <f t="shared" si="14"/>
        <v>0.2831858407079646</v>
      </c>
      <c r="I60" s="69">
        <f>IFERROR(INDEX(阻害要因×疾患名＿寛解・院内寛解[#All],MATCH($AI60,阻害要因×疾患名＿寛解・院内寛解[[#All],[値]],0),MATCH($AQ$4,阻害要因×疾患名＿寛解・院内寛解[#Headers],0)),0)+IFERROR(INDEX(阻害要因×疾患名＿寛解・院内寛解[#All],MATCH($AI60,阻害要因×疾患名＿寛解・院内寛解[[#All],[値]],0),MATCH($AR$4,阻害要因×疾患名＿寛解・院内寛解[#Headers],0)),0)</f>
        <v>19</v>
      </c>
      <c r="J60" s="68">
        <f t="shared" si="15"/>
        <v>0.22352941176470589</v>
      </c>
      <c r="K60" s="38">
        <f t="shared" si="16"/>
        <v>121</v>
      </c>
      <c r="L60" s="55" t="s">
        <v>174</v>
      </c>
      <c r="M60" s="65">
        <v>64</v>
      </c>
      <c r="N60" s="65">
        <v>13</v>
      </c>
      <c r="O60" s="65">
        <v>17</v>
      </c>
      <c r="P60" s="59">
        <v>6</v>
      </c>
      <c r="Q60" s="59">
        <v>16</v>
      </c>
      <c r="R60" s="59">
        <v>21</v>
      </c>
      <c r="S60" s="59">
        <v>1</v>
      </c>
      <c r="T60" s="59">
        <v>0</v>
      </c>
      <c r="U60" s="59">
        <v>1</v>
      </c>
      <c r="V60" s="59">
        <v>3</v>
      </c>
      <c r="W60" s="59">
        <v>0</v>
      </c>
      <c r="X60" s="59">
        <v>0</v>
      </c>
      <c r="Y60" s="59">
        <v>0</v>
      </c>
      <c r="Z60" s="59">
        <v>3</v>
      </c>
      <c r="AA60" s="59">
        <v>1</v>
      </c>
      <c r="AB60" s="59">
        <v>0</v>
      </c>
      <c r="AC60" s="59">
        <v>0</v>
      </c>
      <c r="AD60" s="59">
        <v>146</v>
      </c>
      <c r="AI60" s="55" t="s">
        <v>174</v>
      </c>
    </row>
    <row r="61" spans="2:35" ht="18.75" customHeight="1" x14ac:dyDescent="0.15">
      <c r="B61" s="104" t="s">
        <v>47</v>
      </c>
      <c r="C61" s="69">
        <f>IFERROR(INDEX(阻害要因×疾患名＿寛解・院内寛解[#All],MATCH($AI61,阻害要因×疾患名＿寛解・院内寛解[[#All],[値]],0),MATCH($AJ$4,阻害要因×疾患名＿寛解・院内寛解[#Headers],0)),0)+IFERROR(INDEX(阻害要因×疾患名＿寛解・院内寛解[#All],MATCH($AI61,阻害要因×疾患名＿寛解・院内寛解[[#All],[値]],0),MATCH($AK$4,阻害要因×疾患名＿寛解・院内寛解[#Headers],0)),0)</f>
        <v>2</v>
      </c>
      <c r="D61" s="68">
        <f t="shared" si="12"/>
        <v>0.04</v>
      </c>
      <c r="E61" s="69">
        <f>IFERROR(INDEX(阻害要因×疾患名＿寛解・院内寛解[#All],MATCH($AI61,阻害要因×疾患名＿寛解・院内寛解[[#All],[値]],0),MATCH($AL$4,阻害要因×疾患名＿寛解・院内寛解[#Headers],0)),0)</f>
        <v>3</v>
      </c>
      <c r="F61" s="68">
        <f t="shared" si="13"/>
        <v>6.6666666666666666E-2</v>
      </c>
      <c r="G61" s="69">
        <f>IFERROR(INDEX(阻害要因×疾患名＿寛解・院内寛解[#All],MATCH($AI61,阻害要因×疾患名＿寛解・院内寛解[[#All],[値]],0),MATCH($AP$4,阻害要因×疾患名＿寛解・院内寛解[#Headers],0)),0)</f>
        <v>15</v>
      </c>
      <c r="H61" s="68">
        <f t="shared" si="14"/>
        <v>6.637168141592921E-2</v>
      </c>
      <c r="I61" s="69">
        <f>IFERROR(INDEX(阻害要因×疾患名＿寛解・院内寛解[#All],MATCH($AI61,阻害要因×疾患名＿寛解・院内寛解[[#All],[値]],0),MATCH($AQ$4,阻害要因×疾患名＿寛解・院内寛解[#Headers],0)),0)+IFERROR(INDEX(阻害要因×疾患名＿寛解・院内寛解[#All],MATCH($AI61,阻害要因×疾患名＿寛解・院内寛解[[#All],[値]],0),MATCH($AR$4,阻害要因×疾患名＿寛解・院内寛解[#Headers],0)),0)</f>
        <v>4</v>
      </c>
      <c r="J61" s="68">
        <f t="shared" si="15"/>
        <v>4.7058823529411764E-2</v>
      </c>
      <c r="K61" s="38">
        <f t="shared" si="16"/>
        <v>24</v>
      </c>
      <c r="L61" s="55" t="s">
        <v>175</v>
      </c>
      <c r="M61" s="65">
        <v>15</v>
      </c>
      <c r="N61" s="65">
        <v>3</v>
      </c>
      <c r="O61" s="65">
        <v>1</v>
      </c>
      <c r="P61" s="59">
        <v>1</v>
      </c>
      <c r="Q61" s="59">
        <v>3</v>
      </c>
      <c r="R61" s="59">
        <v>2</v>
      </c>
      <c r="S61" s="59">
        <v>0</v>
      </c>
      <c r="T61" s="59">
        <v>0</v>
      </c>
      <c r="U61" s="59">
        <v>0</v>
      </c>
      <c r="V61" s="59">
        <v>0</v>
      </c>
      <c r="W61" s="59">
        <v>0</v>
      </c>
      <c r="X61" s="59">
        <v>0</v>
      </c>
      <c r="Y61" s="59">
        <v>0</v>
      </c>
      <c r="Z61" s="59">
        <v>0</v>
      </c>
      <c r="AA61" s="59">
        <v>0</v>
      </c>
      <c r="AB61" s="59">
        <v>0</v>
      </c>
      <c r="AC61" s="59">
        <v>0</v>
      </c>
      <c r="AD61" s="59">
        <v>25</v>
      </c>
      <c r="AI61" s="55" t="s">
        <v>175</v>
      </c>
    </row>
    <row r="62" spans="2:35" ht="18.75" customHeight="1" x14ac:dyDescent="0.15">
      <c r="B62" s="104" t="s">
        <v>48</v>
      </c>
      <c r="C62" s="69">
        <f>IFERROR(INDEX(阻害要因×疾患名＿寛解・院内寛解[#All],MATCH($AI62,阻害要因×疾患名＿寛解・院内寛解[[#All],[値]],0),MATCH($AJ$4,阻害要因×疾患名＿寛解・院内寛解[#Headers],0)),0)+IFERROR(INDEX(阻害要因×疾患名＿寛解・院内寛解[#All],MATCH($AI62,阻害要因×疾患名＿寛解・院内寛解[[#All],[値]],0),MATCH($AK$4,阻害要因×疾患名＿寛解・院内寛解[#Headers],0)),0)</f>
        <v>3</v>
      </c>
      <c r="D62" s="68">
        <f t="shared" si="12"/>
        <v>0.06</v>
      </c>
      <c r="E62" s="69">
        <f>IFERROR(INDEX(阻害要因×疾患名＿寛解・院内寛解[#All],MATCH($AI62,阻害要因×疾患名＿寛解・院内寛解[[#All],[値]],0),MATCH($AL$4,阻害要因×疾患名＿寛解・院内寛解[#Headers],0)),0)</f>
        <v>1</v>
      </c>
      <c r="F62" s="68">
        <f t="shared" si="13"/>
        <v>2.2222222222222223E-2</v>
      </c>
      <c r="G62" s="69">
        <f>IFERROR(INDEX(阻害要因×疾患名＿寛解・院内寛解[#All],MATCH($AI62,阻害要因×疾患名＿寛解・院内寛解[[#All],[値]],0),MATCH($AP$4,阻害要因×疾患名＿寛解・院内寛解[#Headers],0)),0)</f>
        <v>8</v>
      </c>
      <c r="H62" s="68">
        <f t="shared" si="14"/>
        <v>3.5398230088495575E-2</v>
      </c>
      <c r="I62" s="69">
        <f>IFERROR(INDEX(阻害要因×疾患名＿寛解・院内寛解[#All],MATCH($AI62,阻害要因×疾患名＿寛解・院内寛解[[#All],[値]],0),MATCH($AQ$4,阻害要因×疾患名＿寛解・院内寛解[#Headers],0)),0)+IFERROR(INDEX(阻害要因×疾患名＿寛解・院内寛解[#All],MATCH($AI62,阻害要因×疾患名＿寛解・院内寛解[[#All],[値]],0),MATCH($AR$4,阻害要因×疾患名＿寛解・院内寛解[#Headers],0)),0)</f>
        <v>1</v>
      </c>
      <c r="J62" s="68">
        <f t="shared" si="15"/>
        <v>1.1764705882352941E-2</v>
      </c>
      <c r="K62" s="38">
        <f t="shared" si="16"/>
        <v>13</v>
      </c>
      <c r="L62" s="55" t="s">
        <v>176</v>
      </c>
      <c r="M62" s="65">
        <v>8</v>
      </c>
      <c r="N62" s="65">
        <v>0</v>
      </c>
      <c r="O62" s="65">
        <v>8</v>
      </c>
      <c r="P62" s="59">
        <v>1</v>
      </c>
      <c r="Q62" s="59">
        <v>1</v>
      </c>
      <c r="R62" s="59">
        <v>3</v>
      </c>
      <c r="S62" s="59">
        <v>0</v>
      </c>
      <c r="T62" s="59">
        <v>0</v>
      </c>
      <c r="U62" s="59">
        <v>1</v>
      </c>
      <c r="V62" s="59">
        <v>1</v>
      </c>
      <c r="W62" s="59">
        <v>0</v>
      </c>
      <c r="X62" s="59">
        <v>0</v>
      </c>
      <c r="Y62" s="59">
        <v>0</v>
      </c>
      <c r="Z62" s="59">
        <v>0</v>
      </c>
      <c r="AA62" s="59">
        <v>0</v>
      </c>
      <c r="AB62" s="59">
        <v>0</v>
      </c>
      <c r="AC62" s="59">
        <v>0</v>
      </c>
      <c r="AD62" s="59">
        <v>23</v>
      </c>
      <c r="AI62" s="55" t="s">
        <v>176</v>
      </c>
    </row>
    <row r="63" spans="2:35" ht="18.75" customHeight="1" x14ac:dyDescent="0.15">
      <c r="B63" s="104" t="s">
        <v>49</v>
      </c>
      <c r="C63" s="67">
        <f>IFERROR(INDEX(阻害要因×疾患名＿寛解・院内寛解[#All],MATCH($AI63,阻害要因×疾患名＿寛解・院内寛解[[#All],[値]],0),MATCH($AJ$4,阻害要因×疾患名＿寛解・院内寛解[#Headers],0)),0)+IFERROR(INDEX(阻害要因×疾患名＿寛解・院内寛解[#All],MATCH($AI63,阻害要因×疾患名＿寛解・院内寛解[[#All],[値]],0),MATCH($AK$4,阻害要因×疾患名＿寛解・院内寛解[#Headers],0)),0)</f>
        <v>0</v>
      </c>
      <c r="D63" s="72">
        <f t="shared" si="12"/>
        <v>0</v>
      </c>
      <c r="E63" s="67">
        <f>IFERROR(INDEX(阻害要因×疾患名＿寛解・院内寛解[#All],MATCH($AI63,阻害要因×疾患名＿寛解・院内寛解[[#All],[値]],0),MATCH($AL$4,阻害要因×疾患名＿寛解・院内寛解[#Headers],0)),0)</f>
        <v>0</v>
      </c>
      <c r="F63" s="72">
        <f t="shared" si="13"/>
        <v>0</v>
      </c>
      <c r="G63" s="67">
        <f>IFERROR(INDEX(阻害要因×疾患名＿寛解・院内寛解[#All],MATCH($AI63,阻害要因×疾患名＿寛解・院内寛解[[#All],[値]],0),MATCH($AP$4,阻害要因×疾患名＿寛解・院内寛解[#Headers],0)),0)</f>
        <v>1</v>
      </c>
      <c r="H63" s="72">
        <f t="shared" si="14"/>
        <v>4.4247787610619468E-3</v>
      </c>
      <c r="I63" s="67">
        <f>IFERROR(INDEX(阻害要因×疾患名＿寛解・院内寛解[#All],MATCH($AI63,阻害要因×疾患名＿寛解・院内寛解[[#All],[値]],0),MATCH($AQ$4,阻害要因×疾患名＿寛解・院内寛解[#Headers],0)),0)+IFERROR(INDEX(阻害要因×疾患名＿寛解・院内寛解[#All],MATCH($AI63,阻害要因×疾患名＿寛解・院内寛解[[#All],[値]],0),MATCH($AR$4,阻害要因×疾患名＿寛解・院内寛解[#Headers],0)),0)</f>
        <v>0</v>
      </c>
      <c r="J63" s="72">
        <f t="shared" si="15"/>
        <v>0</v>
      </c>
      <c r="K63" s="38">
        <f t="shared" si="16"/>
        <v>1</v>
      </c>
      <c r="L63" s="55" t="s">
        <v>177</v>
      </c>
      <c r="M63" s="65">
        <v>1</v>
      </c>
      <c r="N63" s="59">
        <v>0</v>
      </c>
      <c r="O63" s="59">
        <v>0</v>
      </c>
      <c r="P63" s="59">
        <v>0</v>
      </c>
      <c r="Q63" s="59">
        <v>0</v>
      </c>
      <c r="R63" s="59">
        <v>0</v>
      </c>
      <c r="S63" s="59">
        <v>0</v>
      </c>
      <c r="T63" s="59">
        <v>0</v>
      </c>
      <c r="U63" s="59">
        <v>0</v>
      </c>
      <c r="V63" s="59">
        <v>0</v>
      </c>
      <c r="W63" s="59">
        <v>0</v>
      </c>
      <c r="X63" s="59">
        <v>0</v>
      </c>
      <c r="Y63" s="59">
        <v>0</v>
      </c>
      <c r="Z63" s="59">
        <v>0</v>
      </c>
      <c r="AA63" s="59">
        <v>0</v>
      </c>
      <c r="AB63" s="59">
        <v>0</v>
      </c>
      <c r="AC63" s="59">
        <v>0</v>
      </c>
      <c r="AD63" s="59">
        <v>1</v>
      </c>
      <c r="AI63" s="55" t="s">
        <v>177</v>
      </c>
    </row>
    <row r="64" spans="2:35" ht="18.75" customHeight="1" x14ac:dyDescent="0.15">
      <c r="B64" s="104" t="s">
        <v>50</v>
      </c>
      <c r="C64" s="105">
        <f>IFERROR(INDEX(阻害要因×疾患名＿寛解・院内寛解[#All],MATCH($AI64,阻害要因×疾患名＿寛解・院内寛解[[#All],[値]],0),MATCH($AJ$4,阻害要因×疾患名＿寛解・院内寛解[#Headers],0)),0)+IFERROR(INDEX(阻害要因×疾患名＿寛解・院内寛解[#All],MATCH($AI64,阻害要因×疾患名＿寛解・院内寛解[[#All],[値]],0),MATCH($AK$4,阻害要因×疾患名＿寛解・院内寛解[#Headers],0)),0)</f>
        <v>4</v>
      </c>
      <c r="D64" s="68">
        <f t="shared" si="12"/>
        <v>0.08</v>
      </c>
      <c r="E64" s="69">
        <f>IFERROR(INDEX(阻害要因×疾患名＿寛解・院内寛解[#All],MATCH($AI64,阻害要因×疾患名＿寛解・院内寛解[[#All],[値]],0),MATCH($AL$4,阻害要因×疾患名＿寛解・院内寛解[#Headers],0)),0)</f>
        <v>5</v>
      </c>
      <c r="F64" s="68">
        <f t="shared" si="13"/>
        <v>0.1111111111111111</v>
      </c>
      <c r="G64" s="69">
        <f>IFERROR(INDEX(阻害要因×疾患名＿寛解・院内寛解[#All],MATCH($AI64,阻害要因×疾患名＿寛解・院内寛解[[#All],[値]],0),MATCH($AP$4,阻害要因×疾患名＿寛解・院内寛解[#Headers],0)),0)</f>
        <v>15</v>
      </c>
      <c r="H64" s="68">
        <f t="shared" si="14"/>
        <v>6.637168141592921E-2</v>
      </c>
      <c r="I64" s="69">
        <f>IFERROR(INDEX(阻害要因×疾患名＿寛解・院内寛解[#All],MATCH($AI64,阻害要因×疾患名＿寛解・院内寛解[[#All],[値]],0),MATCH($AQ$4,阻害要因×疾患名＿寛解・院内寛解[#Headers],0)),0)+IFERROR(INDEX(阻害要因×疾患名＿寛解・院内寛解[#All],MATCH($AI64,阻害要因×疾患名＿寛解・院内寛解[[#All],[値]],0),MATCH($AR$4,阻害要因×疾患名＿寛解・院内寛解[#Headers],0)),0)</f>
        <v>6</v>
      </c>
      <c r="J64" s="68">
        <f t="shared" si="15"/>
        <v>7.0588235294117646E-2</v>
      </c>
      <c r="K64" s="38">
        <f t="shared" si="16"/>
        <v>30</v>
      </c>
      <c r="L64" s="55" t="s">
        <v>178</v>
      </c>
      <c r="M64" s="65">
        <v>15</v>
      </c>
      <c r="N64" s="59">
        <v>3</v>
      </c>
      <c r="O64" s="59">
        <v>10</v>
      </c>
      <c r="P64" s="59">
        <v>3</v>
      </c>
      <c r="Q64" s="59">
        <v>5</v>
      </c>
      <c r="R64" s="59">
        <v>4</v>
      </c>
      <c r="S64" s="59">
        <v>0</v>
      </c>
      <c r="T64" s="59">
        <v>0</v>
      </c>
      <c r="U64" s="59">
        <v>0</v>
      </c>
      <c r="V64" s="59">
        <v>1</v>
      </c>
      <c r="W64" s="59">
        <v>0</v>
      </c>
      <c r="X64" s="59">
        <v>0</v>
      </c>
      <c r="Y64" s="59">
        <v>0</v>
      </c>
      <c r="Z64" s="59">
        <v>0</v>
      </c>
      <c r="AA64" s="59">
        <v>0</v>
      </c>
      <c r="AB64" s="59">
        <v>0</v>
      </c>
      <c r="AC64" s="59">
        <v>0</v>
      </c>
      <c r="AD64" s="59">
        <v>41</v>
      </c>
      <c r="AI64" s="55" t="s">
        <v>178</v>
      </c>
    </row>
    <row r="65" spans="2:35" ht="18.75" customHeight="1" x14ac:dyDescent="0.15">
      <c r="B65" s="104" t="s">
        <v>51</v>
      </c>
      <c r="C65" s="105">
        <f>IFERROR(INDEX(阻害要因×疾患名＿寛解・院内寛解[#All],MATCH($AI65,阻害要因×疾患名＿寛解・院内寛解[[#All],[値]],0),MATCH($AJ$4,阻害要因×疾患名＿寛解・院内寛解[#Headers],0)),0)+IFERROR(INDEX(阻害要因×疾患名＿寛解・院内寛解[#All],MATCH($AI65,阻害要因×疾患名＿寛解・院内寛解[[#All],[値]],0),MATCH($AK$4,阻害要因×疾患名＿寛解・院内寛解[#Headers],0)),0)</f>
        <v>3</v>
      </c>
      <c r="D65" s="68">
        <f t="shared" si="12"/>
        <v>0.06</v>
      </c>
      <c r="E65" s="69">
        <f>IFERROR(INDEX(阻害要因×疾患名＿寛解・院内寛解[#All],MATCH($AI65,阻害要因×疾患名＿寛解・院内寛解[[#All],[値]],0),MATCH($AL$4,阻害要因×疾患名＿寛解・院内寛解[#Headers],0)),0)</f>
        <v>1</v>
      </c>
      <c r="F65" s="68">
        <f t="shared" si="13"/>
        <v>2.2222222222222223E-2</v>
      </c>
      <c r="G65" s="69">
        <f>IFERROR(INDEX(阻害要因×疾患名＿寛解・院内寛解[#All],MATCH($AI65,阻害要因×疾患名＿寛解・院内寛解[[#All],[値]],0),MATCH($AP$4,阻害要因×疾患名＿寛解・院内寛解[#Headers],0)),0)</f>
        <v>18</v>
      </c>
      <c r="H65" s="68">
        <f t="shared" si="14"/>
        <v>7.9646017699115043E-2</v>
      </c>
      <c r="I65" s="69">
        <f>IFERROR(INDEX(阻害要因×疾患名＿寛解・院内寛解[#All],MATCH($AI65,阻害要因×疾患名＿寛解・院内寛解[[#All],[値]],0),MATCH($AQ$4,阻害要因×疾患名＿寛解・院内寛解[#Headers],0)),0)+IFERROR(INDEX(阻害要因×疾患名＿寛解・院内寛解[#All],MATCH($AI65,阻害要因×疾患名＿寛解・院内寛解[[#All],[値]],0),MATCH($AR$4,阻害要因×疾患名＿寛解・院内寛解[#Headers],0)),0)</f>
        <v>6</v>
      </c>
      <c r="J65" s="68">
        <f t="shared" si="15"/>
        <v>7.0588235294117646E-2</v>
      </c>
      <c r="K65" s="38">
        <f t="shared" si="16"/>
        <v>28</v>
      </c>
      <c r="L65" s="55" t="s">
        <v>179</v>
      </c>
      <c r="M65" s="65">
        <v>18</v>
      </c>
      <c r="N65" s="59">
        <v>2</v>
      </c>
      <c r="O65" s="59">
        <v>10</v>
      </c>
      <c r="P65" s="59">
        <v>4</v>
      </c>
      <c r="Q65" s="59">
        <v>1</v>
      </c>
      <c r="R65" s="59">
        <v>3</v>
      </c>
      <c r="S65" s="59">
        <v>0</v>
      </c>
      <c r="T65" s="59">
        <v>0</v>
      </c>
      <c r="U65" s="59">
        <v>0</v>
      </c>
      <c r="V65" s="59">
        <v>3</v>
      </c>
      <c r="W65" s="59">
        <v>1</v>
      </c>
      <c r="X65" s="59">
        <v>0</v>
      </c>
      <c r="Y65" s="59">
        <v>1</v>
      </c>
      <c r="Z65" s="59">
        <v>0</v>
      </c>
      <c r="AA65" s="59">
        <v>0</v>
      </c>
      <c r="AB65" s="59">
        <v>0</v>
      </c>
      <c r="AC65" s="59">
        <v>0</v>
      </c>
      <c r="AD65" s="59">
        <v>43</v>
      </c>
      <c r="AI65" s="55" t="s">
        <v>179</v>
      </c>
    </row>
    <row r="66" spans="2:35" x14ac:dyDescent="0.15">
      <c r="B66" s="104" t="s">
        <v>247</v>
      </c>
      <c r="C66" s="69">
        <f>IFERROR(INDEX(阻害要因×疾患名＿寛解・院内寛解[#All],MATCH($AI66,阻害要因×疾患名＿寛解・院内寛解[[#All],[値]],0),MATCH($AJ$4,阻害要因×疾患名＿寛解・院内寛解[#Headers],0)),0)+IFERROR(INDEX(阻害要因×疾患名＿寛解・院内寛解[#All],MATCH($AI66,阻害要因×疾患名＿寛解・院内寛解[[#All],[値]],0),MATCH($AK$4,阻害要因×疾患名＿寛解・院内寛解[#Headers],0)),0)</f>
        <v>0</v>
      </c>
      <c r="D66" s="68">
        <f t="shared" si="12"/>
        <v>0</v>
      </c>
      <c r="E66" s="69">
        <f>IFERROR(INDEX(阻害要因×疾患名＿寛解・院内寛解[#All],MATCH($AI66,阻害要因×疾患名＿寛解・院内寛解[[#All],[値]],0),MATCH($AL$4,阻害要因×疾患名＿寛解・院内寛解[#Headers],0)),0)</f>
        <v>0</v>
      </c>
      <c r="F66" s="68">
        <f t="shared" si="13"/>
        <v>0</v>
      </c>
      <c r="G66" s="69">
        <f>IFERROR(INDEX(阻害要因×疾患名＿寛解・院内寛解[#All],MATCH($AI66,阻害要因×疾患名＿寛解・院内寛解[[#All],[値]],0),MATCH($AP$4,阻害要因×疾患名＿寛解・院内寛解[#Headers],0)),0)</f>
        <v>3</v>
      </c>
      <c r="H66" s="68">
        <f t="shared" si="14"/>
        <v>1.3274336283185841E-2</v>
      </c>
      <c r="I66" s="69">
        <f>IFERROR(INDEX(阻害要因×疾患名＿寛解・院内寛解[#All],MATCH($AI66,阻害要因×疾患名＿寛解・院内寛解[[#All],[値]],0),MATCH($AQ$4,阻害要因×疾患名＿寛解・院内寛解[#Headers],0)),0)+IFERROR(INDEX(阻害要因×疾患名＿寛解・院内寛解[#All],MATCH($AI66,阻害要因×疾患名＿寛解・院内寛解[[#All],[値]],0),MATCH($AR$4,阻害要因×疾患名＿寛解・院内寛解[#Headers],0)),0)</f>
        <v>1</v>
      </c>
      <c r="J66" s="68">
        <f t="shared" si="15"/>
        <v>1.1764705882352941E-2</v>
      </c>
      <c r="K66" s="38">
        <f t="shared" si="16"/>
        <v>4</v>
      </c>
      <c r="L66" s="55" t="s">
        <v>180</v>
      </c>
      <c r="M66" s="65">
        <v>3</v>
      </c>
      <c r="N66" s="59">
        <v>1</v>
      </c>
      <c r="O66" s="59">
        <v>6</v>
      </c>
      <c r="P66" s="59">
        <v>0</v>
      </c>
      <c r="Q66" s="59">
        <v>0</v>
      </c>
      <c r="R66" s="59">
        <v>0</v>
      </c>
      <c r="S66" s="59">
        <v>0</v>
      </c>
      <c r="T66" s="59">
        <v>0</v>
      </c>
      <c r="U66" s="59">
        <v>0</v>
      </c>
      <c r="V66" s="59">
        <v>0</v>
      </c>
      <c r="W66" s="59">
        <v>0</v>
      </c>
      <c r="X66" s="59">
        <v>0</v>
      </c>
      <c r="Y66" s="59">
        <v>0</v>
      </c>
      <c r="Z66" s="59">
        <v>0</v>
      </c>
      <c r="AA66" s="59">
        <v>0</v>
      </c>
      <c r="AB66" s="59">
        <v>0</v>
      </c>
      <c r="AC66" s="59">
        <v>0</v>
      </c>
      <c r="AD66" s="59">
        <v>10</v>
      </c>
      <c r="AI66" s="55" t="s">
        <v>180</v>
      </c>
    </row>
    <row r="67" spans="2:35" s="537" customFormat="1" x14ac:dyDescent="0.15">
      <c r="B67" s="541" t="s">
        <v>381</v>
      </c>
      <c r="C67" s="69">
        <f>IFERROR(INDEX(阻害要因×疾患名＿寛解・院内寛解[#All],MATCH($AI67,阻害要因×疾患名＿寛解・院内寛解[[#All],[値]],0),MATCH($AJ$4,阻害要因×疾患名＿寛解・院内寛解[#Headers],0)),0)+IFERROR(INDEX(阻害要因×疾患名＿寛解・院内寛解[#All],MATCH($AI67,阻害要因×疾患名＿寛解・院内寛解[[#All],[値]],0),MATCH($AK$4,阻害要因×疾患名＿寛解・院内寛解[#Headers],0)),0)</f>
        <v>4</v>
      </c>
      <c r="D67" s="68">
        <f t="shared" ref="D67:D69" si="17">IFERROR(C67/C$46,"-")</f>
        <v>0.08</v>
      </c>
      <c r="E67" s="69">
        <f>IFERROR(INDEX(阻害要因×疾患名＿寛解・院内寛解[#All],MATCH($AI67,阻害要因×疾患名＿寛解・院内寛解[[#All],[値]],0),MATCH($AL$4,阻害要因×疾患名＿寛解・院内寛解[#Headers],0)),0)</f>
        <v>4</v>
      </c>
      <c r="F67" s="68">
        <f t="shared" ref="F67:F69" si="18">IFERROR(E67/E$46,"-")</f>
        <v>8.8888888888888892E-2</v>
      </c>
      <c r="G67" s="69">
        <f>IFERROR(INDEX(阻害要因×疾患名＿寛解・院内寛解[#All],MATCH($AI67,阻害要因×疾患名＿寛解・院内寛解[[#All],[値]],0),MATCH($AP$4,阻害要因×疾患名＿寛解・院内寛解[#Headers],0)),0)</f>
        <v>13</v>
      </c>
      <c r="H67" s="68">
        <f t="shared" ref="H67:H69" si="19">IFERROR(G67/G$46,"-")</f>
        <v>5.7522123893805309E-2</v>
      </c>
      <c r="I67" s="69">
        <f>IFERROR(INDEX(阻害要因×疾患名＿寛解・院内寛解[#All],MATCH($AI67,阻害要因×疾患名＿寛解・院内寛解[[#All],[値]],0),MATCH($AQ$4,阻害要因×疾患名＿寛解・院内寛解[#Headers],0)),0)+IFERROR(INDEX(阻害要因×疾患名＿寛解・院内寛解[#All],MATCH($AI67,阻害要因×疾患名＿寛解・院内寛解[[#All],[値]],0),MATCH($AR$4,阻害要因×疾患名＿寛解・院内寛解[#Headers],0)),0)</f>
        <v>6</v>
      </c>
      <c r="J67" s="68">
        <f t="shared" ref="J67:J69" si="20">IFERROR(I67/I$46,"-")</f>
        <v>7.0588235294117646E-2</v>
      </c>
      <c r="K67" s="38">
        <f t="shared" si="16"/>
        <v>27</v>
      </c>
      <c r="L67" s="55" t="s">
        <v>383</v>
      </c>
      <c r="M67" s="540">
        <v>13</v>
      </c>
      <c r="N67" s="59">
        <v>4</v>
      </c>
      <c r="O67" s="59">
        <v>4</v>
      </c>
      <c r="P67" s="59">
        <v>2</v>
      </c>
      <c r="Q67" s="59">
        <v>4</v>
      </c>
      <c r="R67" s="59">
        <v>3</v>
      </c>
      <c r="S67" s="59">
        <v>1</v>
      </c>
      <c r="T67" s="59">
        <v>1</v>
      </c>
      <c r="U67" s="59">
        <v>0</v>
      </c>
      <c r="V67" s="59">
        <v>2</v>
      </c>
      <c r="W67" s="59">
        <v>1</v>
      </c>
      <c r="X67" s="59">
        <v>0</v>
      </c>
      <c r="Y67" s="59">
        <v>0</v>
      </c>
      <c r="Z67" s="59">
        <v>0</v>
      </c>
      <c r="AA67" s="59">
        <v>0</v>
      </c>
      <c r="AB67" s="59">
        <v>0</v>
      </c>
      <c r="AC67" s="59">
        <v>0</v>
      </c>
      <c r="AD67" s="59">
        <v>35</v>
      </c>
      <c r="AI67" s="401" t="s">
        <v>383</v>
      </c>
    </row>
    <row r="68" spans="2:35" s="537" customFormat="1" ht="30" x14ac:dyDescent="0.15">
      <c r="B68" s="542" t="s">
        <v>382</v>
      </c>
      <c r="C68" s="69">
        <f>IFERROR(INDEX(阻害要因×疾患名＿寛解・院内寛解[#All],MATCH($AI68,阻害要因×疾患名＿寛解・院内寛解[[#All],[値]],0),MATCH($AJ$4,阻害要因×疾患名＿寛解・院内寛解[#Headers],0)),0)+IFERROR(INDEX(阻害要因×疾患名＿寛解・院内寛解[#All],MATCH($AI68,阻害要因×疾患名＿寛解・院内寛解[[#All],[値]],0),MATCH($AK$4,阻害要因×疾患名＿寛解・院内寛解[#Headers],0)),0)</f>
        <v>4</v>
      </c>
      <c r="D68" s="68">
        <f t="shared" si="17"/>
        <v>0.08</v>
      </c>
      <c r="E68" s="69">
        <f>IFERROR(INDEX(阻害要因×疾患名＿寛解・院内寛解[#All],MATCH($AI68,阻害要因×疾患名＿寛解・院内寛解[[#All],[値]],0),MATCH($AL$4,阻害要因×疾患名＿寛解・院内寛解[#Headers],0)),0)</f>
        <v>3</v>
      </c>
      <c r="F68" s="68">
        <f t="shared" si="18"/>
        <v>6.6666666666666666E-2</v>
      </c>
      <c r="G68" s="69">
        <f>IFERROR(INDEX(阻害要因×疾患名＿寛解・院内寛解[#All],MATCH($AI68,阻害要因×疾患名＿寛解・院内寛解[[#All],[値]],0),MATCH($AP$4,阻害要因×疾患名＿寛解・院内寛解[#Headers],0)),0)</f>
        <v>9</v>
      </c>
      <c r="H68" s="68">
        <f t="shared" si="19"/>
        <v>3.9823008849557522E-2</v>
      </c>
      <c r="I68" s="69">
        <f>IFERROR(INDEX(阻害要因×疾患名＿寛解・院内寛解[#All],MATCH($AI68,阻害要因×疾患名＿寛解・院内寛解[[#All],[値]],0),MATCH($AQ$4,阻害要因×疾患名＿寛解・院内寛解[#Headers],0)),0)+IFERROR(INDEX(阻害要因×疾患名＿寛解・院内寛解[#All],MATCH($AI68,阻害要因×疾患名＿寛解・院内寛解[[#All],[値]],0),MATCH($AR$4,阻害要因×疾患名＿寛解・院内寛解[#Headers],0)),0)</f>
        <v>3</v>
      </c>
      <c r="J68" s="68">
        <f t="shared" si="20"/>
        <v>3.5294117647058823E-2</v>
      </c>
      <c r="K68" s="38">
        <f t="shared" si="16"/>
        <v>19</v>
      </c>
      <c r="L68" s="55" t="s">
        <v>384</v>
      </c>
      <c r="M68" s="540">
        <v>9</v>
      </c>
      <c r="N68" s="59">
        <v>3</v>
      </c>
      <c r="O68" s="59">
        <v>4</v>
      </c>
      <c r="P68" s="59">
        <v>0</v>
      </c>
      <c r="Q68" s="59">
        <v>3</v>
      </c>
      <c r="R68" s="59">
        <v>4</v>
      </c>
      <c r="S68" s="59">
        <v>0</v>
      </c>
      <c r="T68" s="59">
        <v>0</v>
      </c>
      <c r="U68" s="59">
        <v>0</v>
      </c>
      <c r="V68" s="59">
        <v>0</v>
      </c>
      <c r="W68" s="59">
        <v>0</v>
      </c>
      <c r="X68" s="59">
        <v>0</v>
      </c>
      <c r="Y68" s="59">
        <v>0</v>
      </c>
      <c r="Z68" s="59">
        <v>0</v>
      </c>
      <c r="AA68" s="59">
        <v>0</v>
      </c>
      <c r="AB68" s="59">
        <v>0</v>
      </c>
      <c r="AC68" s="59">
        <v>0</v>
      </c>
      <c r="AD68" s="59">
        <v>23</v>
      </c>
      <c r="AI68" s="401" t="s">
        <v>384</v>
      </c>
    </row>
    <row r="69" spans="2:35" x14ac:dyDescent="0.15">
      <c r="B69" s="106" t="s">
        <v>53</v>
      </c>
      <c r="C69" s="73">
        <f>IFERROR(INDEX(阻害要因×疾患名＿寛解・院内寛解[#All],MATCH($AI69,阻害要因×疾患名＿寛解・院内寛解[[#All],[値]],0),MATCH($AJ$4,阻害要因×疾患名＿寛解・院内寛解[#Headers],0)),0)+IFERROR(INDEX(阻害要因×疾患名＿寛解・院内寛解[#All],MATCH($AI69,阻害要因×疾患名＿寛解・院内寛解[[#All],[値]],0),MATCH($AK$4,阻害要因×疾患名＿寛解・院内寛解[#Headers],0)),0)</f>
        <v>1</v>
      </c>
      <c r="D69" s="76">
        <f t="shared" si="17"/>
        <v>0.02</v>
      </c>
      <c r="E69" s="73">
        <f>IFERROR(INDEX(阻害要因×疾患名＿寛解・院内寛解[#All],MATCH($AI69,阻害要因×疾患名＿寛解・院内寛解[[#All],[値]],0),MATCH($AL$4,阻害要因×疾患名＿寛解・院内寛解[#Headers],0)),0)</f>
        <v>3</v>
      </c>
      <c r="F69" s="76">
        <f t="shared" si="18"/>
        <v>6.6666666666666666E-2</v>
      </c>
      <c r="G69" s="73">
        <f>IFERROR(INDEX(阻害要因×疾患名＿寛解・院内寛解[#All],MATCH($AI69,阻害要因×疾患名＿寛解・院内寛解[[#All],[値]],0),MATCH($AP$4,阻害要因×疾患名＿寛解・院内寛解[#Headers],0)),0)</f>
        <v>10</v>
      </c>
      <c r="H69" s="76">
        <f t="shared" si="19"/>
        <v>4.4247787610619468E-2</v>
      </c>
      <c r="I69" s="73">
        <f>IFERROR(INDEX(阻害要因×疾患名＿寛解・院内寛解[#All],MATCH($AI69,阻害要因×疾患名＿寛解・院内寛解[[#All],[値]],0),MATCH($AQ$4,阻害要因×疾患名＿寛解・院内寛解[#Headers],0)),0)+IFERROR(INDEX(阻害要因×疾患名＿寛解・院内寛解[#All],MATCH($AI69,阻害要因×疾患名＿寛解・院内寛解[[#All],[値]],0),MATCH($AR$4,阻害要因×疾患名＿寛解・院内寛解[#Headers],0)),0)</f>
        <v>2</v>
      </c>
      <c r="J69" s="76">
        <f t="shared" si="20"/>
        <v>2.3529411764705882E-2</v>
      </c>
      <c r="K69" s="38">
        <f t="shared" si="16"/>
        <v>16</v>
      </c>
      <c r="L69" s="55" t="s">
        <v>181</v>
      </c>
      <c r="M69" s="65">
        <v>10</v>
      </c>
      <c r="N69" s="59">
        <v>2</v>
      </c>
      <c r="O69" s="59">
        <v>0</v>
      </c>
      <c r="P69" s="59">
        <v>0</v>
      </c>
      <c r="Q69" s="59">
        <v>3</v>
      </c>
      <c r="R69" s="59">
        <v>1</v>
      </c>
      <c r="S69" s="59">
        <v>0</v>
      </c>
      <c r="T69" s="59">
        <v>0</v>
      </c>
      <c r="U69" s="59">
        <v>0</v>
      </c>
      <c r="V69" s="59">
        <v>1</v>
      </c>
      <c r="W69" s="59">
        <v>0</v>
      </c>
      <c r="X69" s="59">
        <v>0</v>
      </c>
      <c r="Y69" s="59">
        <v>0</v>
      </c>
      <c r="Z69" s="59">
        <v>1</v>
      </c>
      <c r="AA69" s="59">
        <v>0</v>
      </c>
      <c r="AB69" s="59">
        <v>0</v>
      </c>
      <c r="AC69" s="59">
        <v>0</v>
      </c>
      <c r="AD69" s="724">
        <v>18</v>
      </c>
      <c r="AI69" s="401" t="s">
        <v>181</v>
      </c>
    </row>
    <row r="70" spans="2:35" x14ac:dyDescent="0.15">
      <c r="F70" s="66"/>
      <c r="H70" s="66"/>
      <c r="J70" s="66"/>
    </row>
    <row r="71" spans="2:35" x14ac:dyDescent="0.15">
      <c r="F71" s="66"/>
      <c r="H71" s="66"/>
      <c r="J71" s="66"/>
    </row>
  </sheetData>
  <mergeCells count="20">
    <mergeCell ref="C13:J13"/>
    <mergeCell ref="C10:J10"/>
    <mergeCell ref="B2:B4"/>
    <mergeCell ref="C2:J2"/>
    <mergeCell ref="C4:D4"/>
    <mergeCell ref="E4:F4"/>
    <mergeCell ref="C3:F3"/>
    <mergeCell ref="G3:H4"/>
    <mergeCell ref="I3:J4"/>
    <mergeCell ref="C38:F38"/>
    <mergeCell ref="G38:H39"/>
    <mergeCell ref="I38:J39"/>
    <mergeCell ref="B14:J14"/>
    <mergeCell ref="B49:J49"/>
    <mergeCell ref="C45:J45"/>
    <mergeCell ref="C48:J48"/>
    <mergeCell ref="B37:B39"/>
    <mergeCell ref="C37:J37"/>
    <mergeCell ref="C39:D39"/>
    <mergeCell ref="E39:F39"/>
  </mergeCells>
  <phoneticPr fontId="2"/>
  <printOptions horizontalCentered="1"/>
  <pageMargins left="0.70866141732283472" right="0.70866141732283472" top="0.74803149606299213" bottom="0.74803149606299213" header="0.31496062992125984" footer="0.31496062992125984"/>
  <pageSetup paperSize="9" scale="75" fitToHeight="0" orientation="portrait" r:id="rId1"/>
  <rowBreaks count="1" manualBreakCount="1">
    <brk id="35" min="1"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Button 1">
              <controlPr defaultSize="0" print="0" autoFill="0" autoPict="0" macro="[0]!データ削除_退院阻害要因疾患名区分">
                <anchor moveWithCells="1" sizeWithCells="1">
                  <from>
                    <xdr:col>29</xdr:col>
                    <xdr:colOff>581025</xdr:colOff>
                    <xdr:row>3</xdr:row>
                    <xdr:rowOff>285750</xdr:rowOff>
                  </from>
                  <to>
                    <xdr:col>32</xdr:col>
                    <xdr:colOff>85725</xdr:colOff>
                    <xdr:row>4</xdr:row>
                    <xdr:rowOff>171450</xdr:rowOff>
                  </to>
                </anchor>
              </controlPr>
            </control>
          </mc:Choice>
        </mc:AlternateContent>
      </controls>
    </mc:Choice>
  </mc:AlternateContent>
  <tableParts count="6">
    <tablePart r:id="rId5"/>
    <tablePart r:id="rId6"/>
    <tablePart r:id="rId7"/>
    <tablePart r:id="rId8"/>
    <tablePart r:id="rId9"/>
    <tablePart r:id="rId10"/>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tabColor rgb="FFFF0000"/>
    <pageSetUpPr fitToPage="1"/>
  </sheetPr>
  <dimension ref="B1:AY230"/>
  <sheetViews>
    <sheetView showGridLines="0" view="pageBreakPreview" topLeftCell="D1" zoomScale="80" zoomScaleNormal="100" zoomScaleSheetLayoutView="80" workbookViewId="0">
      <selection activeCell="O1" sqref="O1:BC1048576"/>
    </sheetView>
  </sheetViews>
  <sheetFormatPr defaultRowHeight="18.75" x14ac:dyDescent="0.15"/>
  <cols>
    <col min="1" max="1" width="4" style="1" customWidth="1"/>
    <col min="2" max="2" width="12.5" style="1" customWidth="1"/>
    <col min="3" max="12" width="8.75" style="1" customWidth="1"/>
    <col min="13" max="13" width="16.5" style="1" customWidth="1"/>
    <col min="14" max="14" width="2.5" style="1" customWidth="1"/>
    <col min="15" max="15" width="17.75" style="1" hidden="1" customWidth="1"/>
    <col min="16" max="31" width="11.125" style="1" hidden="1" customWidth="1"/>
    <col min="32" max="51" width="9" style="1" hidden="1" customWidth="1"/>
    <col min="52" max="55" width="0" style="1" hidden="1" customWidth="1"/>
    <col min="56" max="16384" width="9" style="1"/>
  </cols>
  <sheetData>
    <row r="1" spans="2:50" ht="19.5" customHeight="1" x14ac:dyDescent="0.15">
      <c r="B1" s="2" t="s">
        <v>74</v>
      </c>
    </row>
    <row r="2" spans="2:50" ht="18.75" customHeight="1" thickBot="1" x14ac:dyDescent="0.2">
      <c r="B2" s="961" t="s">
        <v>65</v>
      </c>
      <c r="C2" s="963" t="s">
        <v>64</v>
      </c>
      <c r="D2" s="964"/>
      <c r="E2" s="964"/>
      <c r="F2" s="964"/>
      <c r="G2" s="964"/>
      <c r="H2" s="964"/>
      <c r="I2" s="964"/>
      <c r="J2" s="964"/>
      <c r="K2" s="964"/>
      <c r="L2" s="965"/>
      <c r="O2" s="33" t="s">
        <v>63</v>
      </c>
    </row>
    <row r="3" spans="2:50" ht="18.75" customHeight="1" thickTop="1" thickBot="1" x14ac:dyDescent="0.2">
      <c r="B3" s="962"/>
      <c r="C3" s="966" t="s">
        <v>69</v>
      </c>
      <c r="D3" s="967"/>
      <c r="E3" s="966" t="s">
        <v>70</v>
      </c>
      <c r="F3" s="967"/>
      <c r="G3" s="966" t="s">
        <v>71</v>
      </c>
      <c r="H3" s="967"/>
      <c r="I3" s="966" t="s">
        <v>72</v>
      </c>
      <c r="J3" s="967"/>
      <c r="K3" s="966" t="s">
        <v>62</v>
      </c>
      <c r="L3" s="967"/>
      <c r="O3" s="425" t="s">
        <v>373</v>
      </c>
      <c r="P3" s="489" t="s">
        <v>182</v>
      </c>
      <c r="Q3" s="61" t="s">
        <v>183</v>
      </c>
      <c r="R3" s="61" t="s">
        <v>184</v>
      </c>
      <c r="S3" s="61" t="s">
        <v>185</v>
      </c>
      <c r="T3" s="61" t="s">
        <v>186</v>
      </c>
      <c r="U3" s="61" t="s">
        <v>187</v>
      </c>
      <c r="V3" s="61" t="s">
        <v>188</v>
      </c>
      <c r="W3" s="61" t="s">
        <v>189</v>
      </c>
      <c r="X3" s="61" t="s">
        <v>190</v>
      </c>
      <c r="Y3" s="61" t="s">
        <v>191</v>
      </c>
      <c r="Z3" s="61" t="s">
        <v>192</v>
      </c>
      <c r="AA3" s="61" t="s">
        <v>193</v>
      </c>
      <c r="AB3" s="61" t="s">
        <v>194</v>
      </c>
      <c r="AC3" s="61" t="s">
        <v>195</v>
      </c>
      <c r="AD3" s="61" t="s">
        <v>196</v>
      </c>
      <c r="AE3" s="52" t="s">
        <v>197</v>
      </c>
      <c r="AF3" s="61" t="s">
        <v>604</v>
      </c>
      <c r="AI3" s="473" t="s">
        <v>182</v>
      </c>
      <c r="AJ3" s="474" t="s">
        <v>183</v>
      </c>
      <c r="AK3" s="474" t="s">
        <v>184</v>
      </c>
      <c r="AL3" s="474" t="s">
        <v>185</v>
      </c>
      <c r="AM3" s="474" t="s">
        <v>186</v>
      </c>
      <c r="AN3" s="474" t="s">
        <v>187</v>
      </c>
      <c r="AO3" s="474" t="s">
        <v>188</v>
      </c>
      <c r="AP3" s="474" t="s">
        <v>189</v>
      </c>
      <c r="AQ3" s="474" t="s">
        <v>190</v>
      </c>
      <c r="AR3" s="474" t="s">
        <v>191</v>
      </c>
      <c r="AS3" s="474" t="s">
        <v>192</v>
      </c>
      <c r="AT3" s="474" t="s">
        <v>193</v>
      </c>
      <c r="AU3" s="474" t="s">
        <v>194</v>
      </c>
      <c r="AV3" s="474" t="s">
        <v>195</v>
      </c>
      <c r="AW3" s="474" t="s">
        <v>196</v>
      </c>
      <c r="AX3" s="473" t="s">
        <v>197</v>
      </c>
    </row>
    <row r="4" spans="2:50" s="21" customFormat="1" ht="18.75" customHeight="1" thickTop="1" x14ac:dyDescent="0.15">
      <c r="B4" s="225" t="s">
        <v>2</v>
      </c>
      <c r="C4" s="226">
        <f>IFERROR(INDEX(年齢階層×在院期間区分F2[#All],MATCH($AH4,年齢階層×在院期間区分F2[[#All],[行ラベル]],0),MATCH($AI$3,年齢階層×在院期間区分F2[#Headers],0)),0)+IFERROR(INDEX(年齢階層×在院期間区分F2[#All],MATCH($AH4,年齢階層×在院期間区分F2[[#All],[行ラベル]],0),MATCH($AJ$3,年齢階層×在院期間区分F2[#Headers],0)),0)+IFERROR(INDEX(年齢階層×在院期間区分F2[#All],MATCH($AH4,年齢階層×在院期間区分F2[[#All],[行ラベル]],0),MATCH($AK$3,年齢階層×在院期間区分F2[#Headers],0)),0)+IFERROR(INDEX(年齢階層×在院期間区分F2[#All],MATCH($AH4,年齢階層×在院期間区分F2[[#All],[行ラベル]],0),MATCH($AL$3,年齢階層×在院期間区分F2[#Headers],0)),0)</f>
        <v>17</v>
      </c>
      <c r="D4" s="221">
        <f t="shared" ref="D4:D12" si="0">IFERROR(C4/$C$13,"-")</f>
        <v>8.2604470359572395E-3</v>
      </c>
      <c r="E4" s="226">
        <f>IFERROR(INDEX(年齢階層×在院期間区分F2[#All],MATCH($AH4,年齢階層×在院期間区分F2[[#All],[行ラベル]],0),MATCH($AM$3,年齢階層×在院期間区分F2[#Headers],0)),0)+IFERROR(INDEX(年齢階層×在院期間区分F2[#All],MATCH($AH4,年齢階層×在院期間区分F2[[#All],[行ラベル]],0),MATCH($AN$3,年齢階層×在院期間区分F2[#Headers],0)),0)+IFERROR(INDEX(年齢階層×在院期間区分F2[#All],MATCH($AH4,年齢階層×在院期間区分F2[[#All],[行ラベル]],0),MATCH($AO$3,年齢階層×在院期間区分F2[#Headers],0)),0)+IFERROR(INDEX(年齢階層×在院期間区分F2[#All],MATCH($AH4,年齢階層×在院期間区分F2[[#All],[行ラベル]],0),MATCH($AP$3,年齢階層×在院期間区分F2[#Headers],0)),0)+IFERROR(INDEX(年齢階層×在院期間区分F2[#All],MATCH($AH4,年齢階層×在院期間区分F2[[#All],[行ラベル]],0),MATCH($AQ$3,年齢階層×在院期間区分F2[#Headers],0)),0)</f>
        <v>1</v>
      </c>
      <c r="F4" s="221">
        <f t="shared" ref="F4:F12" si="1">IFERROR(E4/$E$13,"-")</f>
        <v>4.5850527281063731E-4</v>
      </c>
      <c r="G4" s="226">
        <f>IFERROR(INDEX(年齢階層×在院期間区分F2[#All],MATCH($AH4,年齢階層×在院期間区分F2[[#All],[行ラベル]],0),MATCH($AR$3,年齢階層×在院期間区分F2[#Headers],0)),0)+IFERROR(INDEX(年齢階層×在院期間区分F2[#All],MATCH($AH4,年齢階層×在院期間区分F2[[#All],[行ラベル]],0),MATCH($AS$3,年齢階層×在院期間区分F2[#Headers],0)),0)+IFERROR(INDEX(年齢階層×在院期間区分F2[#All],MATCH($AH4,年齢階層×在院期間区分F2[[#All],[行ラベル]],0),MATCH($AT$3,年齢階層×在院期間区分F2[#Headers],0)),0)+IFERROR(INDEX(年齢階層×在院期間区分F2[#All],MATCH($AH4,年齢階層×在院期間区分F2[[#All],[行ラベル]],0),MATCH($AU$3,年齢階層×在院期間区分F2[#Headers],0)),0)+IFERROR(INDEX(年齢階層×在院期間区分F2[#All],MATCH($AH4,年齢階層×在院期間区分F2[[#All],[行ラベル]],0),MATCH($AV$3,年齢階層×在院期間区分F2[#Headers],0)),0)</f>
        <v>0</v>
      </c>
      <c r="H4" s="221">
        <f t="shared" ref="H4:H12" si="2">IFERROR(G4/$G$13,"-")</f>
        <v>0</v>
      </c>
      <c r="I4" s="220">
        <f>IFERROR(INDEX(年齢階層×在院期間区分F2[#All],MATCH($AH4,年齢階層×在院期間区分F2[[#All],[行ラベル]],0),MATCH($AW$3,年齢階層×在院期間区分F2[#Headers],0)),0)+IFERROR(INDEX(年齢階層×在院期間区分F2[#All],MATCH($AH4,年齢階層×在院期間区分F2[[#All],[行ラベル]],0),MATCH($AX$3,年齢階層×在院期間区分F2[#Headers],0)),0)</f>
        <v>0</v>
      </c>
      <c r="J4" s="221">
        <f t="shared" ref="J4:J12" si="3">IFERROR(I4/$I$13,"-")</f>
        <v>0</v>
      </c>
      <c r="K4" s="220">
        <f>SUM(C4,E4,G4,I4)</f>
        <v>18</v>
      </c>
      <c r="L4" s="221">
        <f t="shared" ref="L4:L12" si="4">IFERROR(K4/$K$13,"-")</f>
        <v>2.4559967253376994E-3</v>
      </c>
      <c r="O4" s="53" t="s">
        <v>2</v>
      </c>
      <c r="P4" s="65">
        <v>7</v>
      </c>
      <c r="Q4" s="65">
        <v>6</v>
      </c>
      <c r="R4" s="65">
        <v>3</v>
      </c>
      <c r="S4" s="65">
        <v>1</v>
      </c>
      <c r="T4" s="65">
        <v>0</v>
      </c>
      <c r="U4" s="65">
        <v>1</v>
      </c>
      <c r="V4" s="65">
        <v>0</v>
      </c>
      <c r="W4" s="65">
        <v>0</v>
      </c>
      <c r="X4" s="65">
        <v>0</v>
      </c>
      <c r="Y4" s="65">
        <v>0</v>
      </c>
      <c r="Z4" s="65">
        <v>0</v>
      </c>
      <c r="AA4" s="65">
        <v>0</v>
      </c>
      <c r="AB4" s="65">
        <v>0</v>
      </c>
      <c r="AC4" s="65">
        <v>0</v>
      </c>
      <c r="AD4" s="65">
        <v>0</v>
      </c>
      <c r="AE4" s="65">
        <v>0</v>
      </c>
      <c r="AF4" s="725"/>
      <c r="AH4" s="53" t="s">
        <v>2</v>
      </c>
      <c r="AI4" s="66"/>
      <c r="AL4" s="80"/>
    </row>
    <row r="5" spans="2:50" s="21" customFormat="1" ht="18.75" customHeight="1" x14ac:dyDescent="0.15">
      <c r="B5" s="227" t="s">
        <v>3</v>
      </c>
      <c r="C5" s="228">
        <f>IFERROR(INDEX(年齢階層×在院期間区分F2[#All],MATCH($AH5,年齢階層×在院期間区分F2[[#All],[行ラベル]],0),MATCH($AI$3,年齢階層×在院期間区分F2[#Headers],0)),0)+IFERROR(INDEX(年齢階層×在院期間区分F2[#All],MATCH($AH5,年齢階層×在院期間区分F2[[#All],[行ラベル]],0),MATCH($AJ$3,年齢階層×在院期間区分F2[#Headers],0)),0)+IFERROR(INDEX(年齢階層×在院期間区分F2[#All],MATCH($AH5,年齢階層×在院期間区分F2[[#All],[行ラベル]],0),MATCH($AK$3,年齢階層×在院期間区分F2[#Headers],0)),0)+IFERROR(INDEX(年齢階層×在院期間区分F2[#All],MATCH($AH5,年齢階層×在院期間区分F2[[#All],[行ラベル]],0),MATCH($AL$3,年齢階層×在院期間区分F2[#Headers],0)),0)</f>
        <v>106</v>
      </c>
      <c r="D5" s="206">
        <f t="shared" si="0"/>
        <v>5.1506316812439258E-2</v>
      </c>
      <c r="E5" s="205">
        <f>IFERROR(INDEX(年齢階層×在院期間区分F2[#All],MATCH($AH5,年齢階層×在院期間区分F2[[#All],[行ラベル]],0),MATCH($AM$3,年齢階層×在院期間区分F2[#Headers],0)),0)+IFERROR(INDEX(年齢階層×在院期間区分F2[#All],MATCH($AH5,年齢階層×在院期間区分F2[[#All],[行ラベル]],0),MATCH($AN$3,年齢階層×在院期間区分F2[#Headers],0)),0)+IFERROR(INDEX(年齢階層×在院期間区分F2[#All],MATCH($AH5,年齢階層×在院期間区分F2[[#All],[行ラベル]],0),MATCH($AO$3,年齢階層×在院期間区分F2[#Headers],0)),0)+IFERROR(INDEX(年齢階層×在院期間区分F2[#All],MATCH($AH5,年齢階層×在院期間区分F2[[#All],[行ラベル]],0),MATCH($AP$3,年齢階層×在院期間区分F2[#Headers],0)),0)+IFERROR(INDEX(年齢階層×在院期間区分F2[#All],MATCH($AH5,年齢階層×在院期間区分F2[[#All],[行ラベル]],0),MATCH($AQ$3,年齢階層×在院期間区分F2[#Headers],0)),0)</f>
        <v>18</v>
      </c>
      <c r="F5" s="206">
        <f t="shared" si="1"/>
        <v>8.253094910591471E-3</v>
      </c>
      <c r="G5" s="228">
        <f>IFERROR(INDEX(年齢階層×在院期間区分F2[#All],MATCH($AH5,年齢階層×在院期間区分F2[[#All],[行ラベル]],0),MATCH($AR$3,年齢階層×在院期間区分F2[#Headers],0)),0)+IFERROR(INDEX(年齢階層×在院期間区分F2[#All],MATCH($AH5,年齢階層×在院期間区分F2[[#All],[行ラベル]],0),MATCH($AS$3,年齢階層×在院期間区分F2[#Headers],0)),0)+IFERROR(INDEX(年齢階層×在院期間区分F2[#All],MATCH($AH5,年齢階層×在院期間区分F2[[#All],[行ラベル]],0),MATCH($AT$3,年齢階層×在院期間区分F2[#Headers],0)),0)+IFERROR(INDEX(年齢階層×在院期間区分F2[#All],MATCH($AH5,年齢階層×在院期間区分F2[[#All],[行ラベル]],0),MATCH($AU$3,年齢階層×在院期間区分F2[#Headers],0)),0)+IFERROR(INDEX(年齢階層×在院期間区分F2[#All],MATCH($AH5,年齢階層×在院期間区分F2[[#All],[行ラベル]],0),MATCH($AV$3,年齢階層×在院期間区分F2[#Headers],0)),0)</f>
        <v>7</v>
      </c>
      <c r="H5" s="206">
        <f t="shared" si="2"/>
        <v>5.5865921787709499E-3</v>
      </c>
      <c r="I5" s="229">
        <f>IFERROR(INDEX(年齢階層×在院期間区分F2[#All],MATCH($AH5,年齢階層×在院期間区分F2[[#All],[行ラベル]],0),MATCH($AW$3,年齢階層×在院期間区分F2[#Headers],0)),0)+IFERROR(INDEX(年齢階層×在院期間区分F2[#All],MATCH($AH5,年齢階層×在院期間区分F2[[#All],[行ラベル]],0),MATCH($AX$3,年齢階層×在院期間区分F2[#Headers],0)),0)</f>
        <v>0</v>
      </c>
      <c r="J5" s="206">
        <f t="shared" si="3"/>
        <v>0</v>
      </c>
      <c r="K5" s="205">
        <f>SUM(C5,E5,G5,I5)</f>
        <v>131</v>
      </c>
      <c r="L5" s="206">
        <f t="shared" si="4"/>
        <v>1.7874198389957702E-2</v>
      </c>
      <c r="O5" s="53" t="s">
        <v>3</v>
      </c>
      <c r="P5" s="65">
        <v>39</v>
      </c>
      <c r="Q5" s="65">
        <v>36</v>
      </c>
      <c r="R5" s="65">
        <v>15</v>
      </c>
      <c r="S5" s="65">
        <v>16</v>
      </c>
      <c r="T5" s="65">
        <v>5</v>
      </c>
      <c r="U5" s="65">
        <v>2</v>
      </c>
      <c r="V5" s="65">
        <v>5</v>
      </c>
      <c r="W5" s="65">
        <v>4</v>
      </c>
      <c r="X5" s="65">
        <v>2</v>
      </c>
      <c r="Y5" s="65">
        <v>2</v>
      </c>
      <c r="Z5" s="65">
        <v>2</v>
      </c>
      <c r="AA5" s="65">
        <v>1</v>
      </c>
      <c r="AB5" s="65">
        <v>0</v>
      </c>
      <c r="AC5" s="65">
        <v>2</v>
      </c>
      <c r="AD5" s="65">
        <v>0</v>
      </c>
      <c r="AE5" s="65">
        <v>0</v>
      </c>
      <c r="AF5" s="65"/>
      <c r="AH5" s="53" t="s">
        <v>3</v>
      </c>
      <c r="AI5" s="66"/>
      <c r="AJ5" s="66"/>
      <c r="AL5" s="80"/>
    </row>
    <row r="6" spans="2:50" s="21" customFormat="1" ht="18.75" customHeight="1" x14ac:dyDescent="0.15">
      <c r="B6" s="227" t="s">
        <v>4</v>
      </c>
      <c r="C6" s="228">
        <f>IFERROR(INDEX(年齢階層×在院期間区分F2[#All],MATCH($AH6,年齢階層×在院期間区分F2[[#All],[行ラベル]],0),MATCH($AI$3,年齢階層×在院期間区分F2[#Headers],0)),0)+IFERROR(INDEX(年齢階層×在院期間区分F2[#All],MATCH($AH6,年齢階層×在院期間区分F2[[#All],[行ラベル]],0),MATCH($AJ$3,年齢階層×在院期間区分F2[#Headers],0)),0)+IFERROR(INDEX(年齢階層×在院期間区分F2[#All],MATCH($AH6,年齢階層×在院期間区分F2[[#All],[行ラベル]],0),MATCH($AK$3,年齢階層×在院期間区分F2[#Headers],0)),0)+IFERROR(INDEX(年齢階層×在院期間区分F2[#All],MATCH($AH6,年齢階層×在院期間区分F2[[#All],[行ラベル]],0),MATCH($AL$3,年齢階層×在院期間区分F2[#Headers],0)),0)</f>
        <v>182</v>
      </c>
      <c r="D6" s="206">
        <f t="shared" si="0"/>
        <v>8.8435374149659865E-2</v>
      </c>
      <c r="E6" s="229">
        <f>IFERROR(INDEX(年齢階層×在院期間区分F2[#All],MATCH($AH6,年齢階層×在院期間区分F2[[#All],[行ラベル]],0),MATCH($AM$3,年齢階層×在院期間区分F2[#Headers],0)),0)+IFERROR(INDEX(年齢階層×在院期間区分F2[#All],MATCH($AH6,年齢階層×在院期間区分F2[[#All],[行ラベル]],0),MATCH($AN$3,年齢階層×在院期間区分F2[#Headers],0)),0)+IFERROR(INDEX(年齢階層×在院期間区分F2[#All],MATCH($AH6,年齢階層×在院期間区分F2[[#All],[行ラベル]],0),MATCH($AO$3,年齢階層×在院期間区分F2[#Headers],0)),0)+IFERROR(INDEX(年齢階層×在院期間区分F2[#All],MATCH($AH6,年齢階層×在院期間区分F2[[#All],[行ラベル]],0),MATCH($AP$3,年齢階層×在院期間区分F2[#Headers],0)),0)+IFERROR(INDEX(年齢階層×在院期間区分F2[#All],MATCH($AH6,年齢階層×在院期間区分F2[[#All],[行ラベル]],0),MATCH($AQ$3,年齢階層×在院期間区分F2[#Headers],0)),0)</f>
        <v>98</v>
      </c>
      <c r="F6" s="206">
        <f t="shared" si="1"/>
        <v>4.4933516735442457E-2</v>
      </c>
      <c r="G6" s="228">
        <f>IFERROR(INDEX(年齢階層×在院期間区分F2[#All],MATCH($AH6,年齢階層×在院期間区分F2[[#All],[行ラベル]],0),MATCH($AR$3,年齢階層×在院期間区分F2[#Headers],0)),0)+IFERROR(INDEX(年齢階層×在院期間区分F2[#All],MATCH($AH6,年齢階層×在院期間区分F2[[#All],[行ラベル]],0),MATCH($AS$3,年齢階層×在院期間区分F2[#Headers],0)),0)+IFERROR(INDEX(年齢階層×在院期間区分F2[#All],MATCH($AH6,年齢階層×在院期間区分F2[[#All],[行ラベル]],0),MATCH($AT$3,年齢階層×在院期間区分F2[#Headers],0)),0)+IFERROR(INDEX(年齢階層×在院期間区分F2[#All],MATCH($AH6,年齢階層×在院期間区分F2[[#All],[行ラベル]],0),MATCH($AU$3,年齢階層×在院期間区分F2[#Headers],0)),0)+IFERROR(INDEX(年齢階層×在院期間区分F2[#All],MATCH($AH6,年齢階層×在院期間区分F2[[#All],[行ラベル]],0),MATCH($AV$3,年齢階層×在院期間区分F2[#Headers],0)),0)</f>
        <v>49</v>
      </c>
      <c r="H6" s="206">
        <f t="shared" si="2"/>
        <v>3.9106145251396648E-2</v>
      </c>
      <c r="I6" s="205">
        <f>IFERROR(INDEX(年齢階層×在院期間区分F2[#All],MATCH($AH6,年齢階層×在院期間区分F2[[#All],[行ラベル]],0),MATCH($AW$3,年齢階層×在院期間区分F2[#Headers],0)),0)+IFERROR(INDEX(年齢階層×在院期間区分F2[#All],MATCH($AH6,年齢階層×在院期間区分F2[[#All],[行ラベル]],0),MATCH($AX$3,年齢階層×在院期間区分F2[#Headers],0)),0)</f>
        <v>30</v>
      </c>
      <c r="J6" s="206">
        <f t="shared" si="3"/>
        <v>1.633097441480675E-2</v>
      </c>
      <c r="K6" s="205">
        <f t="shared" ref="K6:K12" si="5">SUM(C6,E6,G6,I6)</f>
        <v>359</v>
      </c>
      <c r="L6" s="206">
        <f t="shared" si="4"/>
        <v>4.8983490244235227E-2</v>
      </c>
      <c r="O6" s="53" t="s">
        <v>4</v>
      </c>
      <c r="P6" s="65">
        <v>65</v>
      </c>
      <c r="Q6" s="65">
        <v>68</v>
      </c>
      <c r="R6" s="65">
        <v>26</v>
      </c>
      <c r="S6" s="65">
        <v>23</v>
      </c>
      <c r="T6" s="65">
        <v>13</v>
      </c>
      <c r="U6" s="65">
        <v>17</v>
      </c>
      <c r="V6" s="65">
        <v>30</v>
      </c>
      <c r="W6" s="65">
        <v>22</v>
      </c>
      <c r="X6" s="65">
        <v>16</v>
      </c>
      <c r="Y6" s="65">
        <v>13</v>
      </c>
      <c r="Z6" s="65">
        <v>9</v>
      </c>
      <c r="AA6" s="65">
        <v>16</v>
      </c>
      <c r="AB6" s="65">
        <v>6</v>
      </c>
      <c r="AC6" s="65">
        <v>5</v>
      </c>
      <c r="AD6" s="65">
        <v>29</v>
      </c>
      <c r="AE6" s="65">
        <v>1</v>
      </c>
      <c r="AF6" s="65"/>
      <c r="AH6" s="53" t="s">
        <v>4</v>
      </c>
      <c r="AI6" s="66"/>
      <c r="AJ6" s="66"/>
      <c r="AL6" s="80"/>
    </row>
    <row r="7" spans="2:50" s="21" customFormat="1" ht="18.75" customHeight="1" x14ac:dyDescent="0.15">
      <c r="B7" s="227" t="s">
        <v>5</v>
      </c>
      <c r="C7" s="205">
        <f>IFERROR(INDEX(年齢階層×在院期間区分F2[#All],MATCH($AH7,年齢階層×在院期間区分F2[[#All],[行ラベル]],0),MATCH($AI$3,年齢階層×在院期間区分F2[#Headers],0)),0)+IFERROR(INDEX(年齢階層×在院期間区分F2[#All],MATCH($AH7,年齢階層×在院期間区分F2[[#All],[行ラベル]],0),MATCH($AJ$3,年齢階層×在院期間区分F2[#Headers],0)),0)+IFERROR(INDEX(年齢階層×在院期間区分F2[#All],MATCH($AH7,年齢階層×在院期間区分F2[[#All],[行ラベル]],0),MATCH($AK$3,年齢階層×在院期間区分F2[#Headers],0)),0)+IFERROR(INDEX(年齢階層×在院期間区分F2[#All],MATCH($AH7,年齢階層×在院期間区分F2[[#All],[行ラベル]],0),MATCH($AL$3,年齢階層×在院期間区分F2[#Headers],0)),0)</f>
        <v>340</v>
      </c>
      <c r="D7" s="206">
        <f t="shared" si="0"/>
        <v>0.1652089407191448</v>
      </c>
      <c r="E7" s="205">
        <f>IFERROR(INDEX(年齢階層×在院期間区分F2[#All],MATCH($AH7,年齢階層×在院期間区分F2[[#All],[行ラベル]],0),MATCH($AM$3,年齢階層×在院期間区分F2[#Headers],0)),0)+IFERROR(INDEX(年齢階層×在院期間区分F2[#All],MATCH($AH7,年齢階層×在院期間区分F2[[#All],[行ラベル]],0),MATCH($AN$3,年齢階層×在院期間区分F2[#Headers],0)),0)+IFERROR(INDEX(年齢階層×在院期間区分F2[#All],MATCH($AH7,年齢階層×在院期間区分F2[[#All],[行ラベル]],0),MATCH($AO$3,年齢階層×在院期間区分F2[#Headers],0)),0)+IFERROR(INDEX(年齢階層×在院期間区分F2[#All],MATCH($AH7,年齢階層×在院期間区分F2[[#All],[行ラベル]],0),MATCH($AP$3,年齢階層×在院期間区分F2[#Headers],0)),0)+IFERROR(INDEX(年齢階層×在院期間区分F2[#All],MATCH($AH7,年齢階層×在院期間区分F2[[#All],[行ラベル]],0),MATCH($AQ$3,年齢階層×在院期間区分F2[#Headers],0)),0)</f>
        <v>240</v>
      </c>
      <c r="F7" s="206">
        <f t="shared" si="1"/>
        <v>0.11004126547455295</v>
      </c>
      <c r="G7" s="228">
        <f>IFERROR(INDEX(年齢階層×在院期間区分F2[#All],MATCH($AH7,年齢階層×在院期間区分F2[[#All],[行ラベル]],0),MATCH($AR$3,年齢階層×在院期間区分F2[#Headers],0)),0)+IFERROR(INDEX(年齢階層×在院期間区分F2[#All],MATCH($AH7,年齢階層×在院期間区分F2[[#All],[行ラベル]],0),MATCH($AS$3,年齢階層×在院期間区分F2[#Headers],0)),0)+IFERROR(INDEX(年齢階層×在院期間区分F2[#All],MATCH($AH7,年齢階層×在院期間区分F2[[#All],[行ラベル]],0),MATCH($AT$3,年齢階層×在院期間区分F2[#Headers],0)),0)+IFERROR(INDEX(年齢階層×在院期間区分F2[#All],MATCH($AH7,年齢階層×在院期間区分F2[[#All],[行ラベル]],0),MATCH($AU$3,年齢階層×在院期間区分F2[#Headers],0)),0)+IFERROR(INDEX(年齢階層×在院期間区分F2[#All],MATCH($AH7,年齢階層×在院期間区分F2[[#All],[行ラベル]],0),MATCH($AV$3,年齢階層×在院期間区分F2[#Headers],0)),0)</f>
        <v>147</v>
      </c>
      <c r="H7" s="206">
        <f t="shared" si="2"/>
        <v>0.11731843575418995</v>
      </c>
      <c r="I7" s="229">
        <f>IFERROR(INDEX(年齢階層×在院期間区分F2[#All],MATCH($AH7,年齢階層×在院期間区分F2[[#All],[行ラベル]],0),MATCH($AW$3,年齢階層×在院期間区分F2[#Headers],0)),0)+IFERROR(INDEX(年齢階層×在院期間区分F2[#All],MATCH($AH7,年齢階層×在院期間区分F2[[#All],[行ラベル]],0),MATCH($AX$3,年齢階層×在院期間区分F2[#Headers],0)),0)</f>
        <v>160</v>
      </c>
      <c r="J7" s="206">
        <f t="shared" si="3"/>
        <v>8.7098530212302669E-2</v>
      </c>
      <c r="K7" s="205">
        <f t="shared" si="5"/>
        <v>887</v>
      </c>
      <c r="L7" s="206">
        <f t="shared" si="4"/>
        <v>0.12102606085414108</v>
      </c>
      <c r="O7" s="53" t="s">
        <v>5</v>
      </c>
      <c r="P7" s="65">
        <v>102</v>
      </c>
      <c r="Q7" s="65">
        <v>117</v>
      </c>
      <c r="R7" s="65">
        <v>49</v>
      </c>
      <c r="S7" s="65">
        <v>72</v>
      </c>
      <c r="T7" s="65">
        <v>47</v>
      </c>
      <c r="U7" s="65">
        <v>36</v>
      </c>
      <c r="V7" s="65">
        <v>55</v>
      </c>
      <c r="W7" s="65">
        <v>52</v>
      </c>
      <c r="X7" s="65">
        <v>50</v>
      </c>
      <c r="Y7" s="65">
        <v>36</v>
      </c>
      <c r="Z7" s="65">
        <v>33</v>
      </c>
      <c r="AA7" s="65">
        <v>33</v>
      </c>
      <c r="AB7" s="65">
        <v>19</v>
      </c>
      <c r="AC7" s="65">
        <v>26</v>
      </c>
      <c r="AD7" s="65">
        <v>122</v>
      </c>
      <c r="AE7" s="65">
        <v>38</v>
      </c>
      <c r="AF7" s="65"/>
      <c r="AH7" s="53" t="s">
        <v>5</v>
      </c>
      <c r="AI7" s="66"/>
      <c r="AJ7" s="66"/>
      <c r="AL7" s="80"/>
    </row>
    <row r="8" spans="2:50" s="21" customFormat="1" ht="18.75" customHeight="1" x14ac:dyDescent="0.15">
      <c r="B8" s="227" t="s">
        <v>6</v>
      </c>
      <c r="C8" s="205">
        <f>IFERROR(INDEX(年齢階層×在院期間区分F2[#All],MATCH($AH8,年齢階層×在院期間区分F2[[#All],[行ラベル]],0),MATCH($AI$3,年齢階層×在院期間区分F2[#Headers],0)),0)+IFERROR(INDEX(年齢階層×在院期間区分F2[#All],MATCH($AH8,年齢階層×在院期間区分F2[[#All],[行ラベル]],0),MATCH($AJ$3,年齢階層×在院期間区分F2[#Headers],0)),0)+IFERROR(INDEX(年齢階層×在院期間区分F2[#All],MATCH($AH8,年齢階層×在院期間区分F2[[#All],[行ラベル]],0),MATCH($AK$3,年齢階層×在院期間区分F2[#Headers],0)),0)+IFERROR(INDEX(年齢階層×在院期間区分F2[#All],MATCH($AH8,年齢階層×在院期間区分F2[[#All],[行ラベル]],0),MATCH($AL$3,年齢階層×在院期間区分F2[#Headers],0)),0)</f>
        <v>488</v>
      </c>
      <c r="D8" s="206">
        <f t="shared" si="0"/>
        <v>0.23712342079689019</v>
      </c>
      <c r="E8" s="205">
        <f>IFERROR(INDEX(年齢階層×在院期間区分F2[#All],MATCH($AH8,年齢階層×在院期間区分F2[[#All],[行ラベル]],0),MATCH($AM$3,年齢階層×在院期間区分F2[#Headers],0)),0)+IFERROR(INDEX(年齢階層×在院期間区分F2[#All],MATCH($AH8,年齢階層×在院期間区分F2[[#All],[行ラベル]],0),MATCH($AN$3,年齢階層×在院期間区分F2[#Headers],0)),0)+IFERROR(INDEX(年齢階層×在院期間区分F2[#All],MATCH($AH8,年齢階層×在院期間区分F2[[#All],[行ラベル]],0),MATCH($AO$3,年齢階層×在院期間区分F2[#Headers],0)),0)+IFERROR(INDEX(年齢階層×在院期間区分F2[#All],MATCH($AH8,年齢階層×在院期間区分F2[[#All],[行ラベル]],0),MATCH($AP$3,年齢階層×在院期間区分F2[#Headers],0)),0)+IFERROR(INDEX(年齢階層×在院期間区分F2[#All],MATCH($AH8,年齢階層×在院期間区分F2[[#All],[行ラベル]],0),MATCH($AQ$3,年齢階層×在院期間区分F2[#Headers],0)),0)</f>
        <v>492</v>
      </c>
      <c r="F8" s="206">
        <f t="shared" si="1"/>
        <v>0.22558459422283356</v>
      </c>
      <c r="G8" s="228">
        <f>IFERROR(INDEX(年齢階層×在院期間区分F2[#All],MATCH($AH8,年齢階層×在院期間区分F2[[#All],[行ラベル]],0),MATCH($AR$3,年齢階層×在院期間区分F2[#Headers],0)),0)+IFERROR(INDEX(年齢階層×在院期間区分F2[#All],MATCH($AH8,年齢階層×在院期間区分F2[[#All],[行ラベル]],0),MATCH($AS$3,年齢階層×在院期間区分F2[#Headers],0)),0)+IFERROR(INDEX(年齢階層×在院期間区分F2[#All],MATCH($AH8,年齢階層×在院期間区分F2[[#All],[行ラベル]],0),MATCH($AT$3,年齢階層×在院期間区分F2[#Headers],0)),0)+IFERROR(INDEX(年齢階層×在院期間区分F2[#All],MATCH($AH8,年齢階層×在院期間区分F2[[#All],[行ラベル]],0),MATCH($AU$3,年齢階層×在院期間区分F2[#Headers],0)),0)+IFERROR(INDEX(年齢階層×在院期間区分F2[#All],MATCH($AH8,年齢階層×在院期間区分F2[[#All],[行ラベル]],0),MATCH($AV$3,年齢階層×在院期間区分F2[#Headers],0)),0)</f>
        <v>315</v>
      </c>
      <c r="H8" s="206">
        <f t="shared" si="2"/>
        <v>0.25139664804469275</v>
      </c>
      <c r="I8" s="228">
        <f>IFERROR(INDEX(年齢階層×在院期間区分F2[#All],MATCH($AH8,年齢階層×在院期間区分F2[[#All],[行ラベル]],0),MATCH($AW$3,年齢階層×在院期間区分F2[#Headers],0)),0)+IFERROR(INDEX(年齢階層×在院期間区分F2[#All],MATCH($AH8,年齢階層×在院期間区分F2[[#All],[行ラベル]],0),MATCH($AX$3,年齢階層×在院期間区分F2[#Headers],0)),0)</f>
        <v>401</v>
      </c>
      <c r="J8" s="206">
        <f t="shared" si="3"/>
        <v>0.21829069134458357</v>
      </c>
      <c r="K8" s="205">
        <f t="shared" si="5"/>
        <v>1696</v>
      </c>
      <c r="L8" s="206">
        <f t="shared" si="4"/>
        <v>0.23140946923181879</v>
      </c>
      <c r="O8" s="53" t="s">
        <v>6</v>
      </c>
      <c r="P8" s="65">
        <v>127</v>
      </c>
      <c r="Q8" s="65">
        <v>163</v>
      </c>
      <c r="R8" s="65">
        <v>92</v>
      </c>
      <c r="S8" s="65">
        <v>106</v>
      </c>
      <c r="T8" s="65">
        <v>84</v>
      </c>
      <c r="U8" s="65">
        <v>65</v>
      </c>
      <c r="V8" s="65">
        <v>136</v>
      </c>
      <c r="W8" s="65">
        <v>113</v>
      </c>
      <c r="X8" s="65">
        <v>94</v>
      </c>
      <c r="Y8" s="65">
        <v>79</v>
      </c>
      <c r="Z8" s="65">
        <v>68</v>
      </c>
      <c r="AA8" s="65">
        <v>67</v>
      </c>
      <c r="AB8" s="65">
        <v>57</v>
      </c>
      <c r="AC8" s="65">
        <v>44</v>
      </c>
      <c r="AD8" s="65">
        <v>259</v>
      </c>
      <c r="AE8" s="65">
        <v>142</v>
      </c>
      <c r="AF8" s="65"/>
      <c r="AH8" s="53" t="s">
        <v>6</v>
      </c>
      <c r="AI8" s="66"/>
      <c r="AJ8" s="66"/>
      <c r="AL8" s="80"/>
    </row>
    <row r="9" spans="2:50" s="21" customFormat="1" ht="18.75" customHeight="1" x14ac:dyDescent="0.15">
      <c r="B9" s="227" t="s">
        <v>7</v>
      </c>
      <c r="C9" s="205">
        <f>IFERROR(INDEX(年齢階層×在院期間区分F2[#All],MATCH($AH9,年齢階層×在院期間区分F2[[#All],[行ラベル]],0),MATCH($AI$3,年齢階層×在院期間区分F2[#Headers],0)),0)+IFERROR(INDEX(年齢階層×在院期間区分F2[#All],MATCH($AH9,年齢階層×在院期間区分F2[[#All],[行ラベル]],0),MATCH($AJ$3,年齢階層×在院期間区分F2[#Headers],0)),0)+IFERROR(INDEX(年齢階層×在院期間区分F2[#All],MATCH($AH9,年齢階層×在院期間区分F2[[#All],[行ラベル]],0),MATCH($AK$3,年齢階層×在院期間区分F2[#Headers],0)),0)+IFERROR(INDEX(年齢階層×在院期間区分F2[#All],MATCH($AH9,年齢階層×在院期間区分F2[[#All],[行ラベル]],0),MATCH($AL$3,年齢階層×在院期間区分F2[#Headers],0)),0)</f>
        <v>354</v>
      </c>
      <c r="D9" s="206">
        <f t="shared" si="0"/>
        <v>0.17201166180758018</v>
      </c>
      <c r="E9" s="229">
        <f>IFERROR(INDEX(年齢階層×在院期間区分F2[#All],MATCH($AH9,年齢階層×在院期間区分F2[[#All],[行ラベル]],0),MATCH($AM$3,年齢階層×在院期間区分F2[#Headers],0)),0)+IFERROR(INDEX(年齢階層×在院期間区分F2[#All],MATCH($AH9,年齢階層×在院期間区分F2[[#All],[行ラベル]],0),MATCH($AN$3,年齢階層×在院期間区分F2[#Headers],0)),0)+IFERROR(INDEX(年齢階層×在院期間区分F2[#All],MATCH($AH9,年齢階層×在院期間区分F2[[#All],[行ラベル]],0),MATCH($AO$3,年齢階層×在院期間区分F2[#Headers],0)),0)+IFERROR(INDEX(年齢階層×在院期間区分F2[#All],MATCH($AH9,年齢階層×在院期間区分F2[[#All],[行ラベル]],0),MATCH($AP$3,年齢階層×在院期間区分F2[#Headers],0)),0)+IFERROR(INDEX(年齢階層×在院期間区分F2[#All],MATCH($AH9,年齢階層×在院期間区分F2[[#All],[行ラベル]],0),MATCH($AQ$3,年齢階層×在院期間区分F2[#Headers],0)),0)</f>
        <v>480</v>
      </c>
      <c r="F9" s="206">
        <f t="shared" si="1"/>
        <v>0.2200825309491059</v>
      </c>
      <c r="G9" s="228">
        <f>IFERROR(INDEX(年齢階層×在院期間区分F2[#All],MATCH($AH9,年齢階層×在院期間区分F2[[#All],[行ラベル]],0),MATCH($AR$3,年齢階層×在院期間区分F2[#Headers],0)),0)+IFERROR(INDEX(年齢階層×在院期間区分F2[#All],MATCH($AH9,年齢階層×在院期間区分F2[[#All],[行ラベル]],0),MATCH($AS$3,年齢階層×在院期間区分F2[#Headers],0)),0)+IFERROR(INDEX(年齢階層×在院期間区分F2[#All],MATCH($AH9,年齢階層×在院期間区分F2[[#All],[行ラベル]],0),MATCH($AT$3,年齢階層×在院期間区分F2[#Headers],0)),0)+IFERROR(INDEX(年齢階層×在院期間区分F2[#All],MATCH($AH9,年齢階層×在院期間区分F2[[#All],[行ラベル]],0),MATCH($AU$3,年齢階層×在院期間区分F2[#Headers],0)),0)+IFERROR(INDEX(年齢階層×在院期間区分F2[#All],MATCH($AH9,年齢階層×在院期間区分F2[[#All],[行ラベル]],0),MATCH($AV$3,年齢階層×在院期間区分F2[#Headers],0)),0)</f>
        <v>302</v>
      </c>
      <c r="H9" s="206">
        <f t="shared" si="2"/>
        <v>0.24102154828411812</v>
      </c>
      <c r="I9" s="205">
        <f>IFERROR(INDEX(年齢階層×在院期間区分F2[#All],MATCH($AH9,年齢階層×在院期間区分F2[[#All],[行ラベル]],0),MATCH($AW$3,年齢階層×在院期間区分F2[#Headers],0)),0)+IFERROR(INDEX(年齢階層×在院期間区分F2[#All],MATCH($AH9,年齢階層×在院期間区分F2[[#All],[行ラベル]],0),MATCH($AX$3,年齢階層×在院期間区分F2[#Headers],0)),0)</f>
        <v>451</v>
      </c>
      <c r="J9" s="206">
        <f t="shared" si="3"/>
        <v>0.24550898203592814</v>
      </c>
      <c r="K9" s="205">
        <f t="shared" si="5"/>
        <v>1587</v>
      </c>
      <c r="L9" s="206">
        <f t="shared" si="4"/>
        <v>0.21653704461727385</v>
      </c>
      <c r="O9" s="53" t="s">
        <v>7</v>
      </c>
      <c r="P9" s="65">
        <v>84</v>
      </c>
      <c r="Q9" s="65">
        <v>91</v>
      </c>
      <c r="R9" s="65">
        <v>73</v>
      </c>
      <c r="S9" s="65">
        <v>106</v>
      </c>
      <c r="T9" s="65">
        <v>86</v>
      </c>
      <c r="U9" s="65">
        <v>73</v>
      </c>
      <c r="V9" s="65">
        <v>123</v>
      </c>
      <c r="W9" s="65">
        <v>101</v>
      </c>
      <c r="X9" s="65">
        <v>97</v>
      </c>
      <c r="Y9" s="65">
        <v>87</v>
      </c>
      <c r="Z9" s="65">
        <v>60</v>
      </c>
      <c r="AA9" s="65">
        <v>58</v>
      </c>
      <c r="AB9" s="65">
        <v>52</v>
      </c>
      <c r="AC9" s="65">
        <v>45</v>
      </c>
      <c r="AD9" s="65">
        <v>274</v>
      </c>
      <c r="AE9" s="65">
        <v>177</v>
      </c>
      <c r="AF9" s="65"/>
      <c r="AH9" s="53" t="s">
        <v>7</v>
      </c>
      <c r="AI9" s="66"/>
      <c r="AJ9" s="66"/>
      <c r="AL9" s="80"/>
    </row>
    <row r="10" spans="2:50" s="21" customFormat="1" ht="18.75" customHeight="1" x14ac:dyDescent="0.15">
      <c r="B10" s="227" t="s">
        <v>8</v>
      </c>
      <c r="C10" s="229">
        <f>IFERROR(INDEX(年齢階層×在院期間区分F2[#All],MATCH($AH10,年齢階層×在院期間区分F2[[#All],[行ラベル]],0),MATCH($AI$3,年齢階層×在院期間区分F2[#Headers],0)),0)+IFERROR(INDEX(年齢階層×在院期間区分F2[#All],MATCH($AH10,年齢階層×在院期間区分F2[[#All],[行ラベル]],0),MATCH($AJ$3,年齢階層×在院期間区分F2[#Headers],0)),0)+IFERROR(INDEX(年齢階層×在院期間区分F2[#All],MATCH($AH10,年齢階層×在院期間区分F2[[#All],[行ラベル]],0),MATCH($AK$3,年齢階層×在院期間区分F2[#Headers],0)),0)+IFERROR(INDEX(年齢階層×在院期間区分F2[#All],MATCH($AH10,年齢階層×在院期間区分F2[[#All],[行ラベル]],0),MATCH($AL$3,年齢階層×在院期間区分F2[#Headers],0)),0)</f>
        <v>371</v>
      </c>
      <c r="D10" s="206">
        <f t="shared" si="0"/>
        <v>0.18027210884353742</v>
      </c>
      <c r="E10" s="228">
        <f>IFERROR(INDEX(年齢階層×在院期間区分F2[#All],MATCH($AH10,年齢階層×在院期間区分F2[[#All],[行ラベル]],0),MATCH($AM$3,年齢階層×在院期間区分F2[#Headers],0)),0)+IFERROR(INDEX(年齢階層×在院期間区分F2[#All],MATCH($AH10,年齢階層×在院期間区分F2[[#All],[行ラベル]],0),MATCH($AN$3,年齢階層×在院期間区分F2[#Headers],0)),0)+IFERROR(INDEX(年齢階層×在院期間区分F2[#All],MATCH($AH10,年齢階層×在院期間区分F2[[#All],[行ラベル]],0),MATCH($AO$3,年齢階層×在院期間区分F2[#Headers],0)),0)+IFERROR(INDEX(年齢階層×在院期間区分F2[#All],MATCH($AH10,年齢階層×在院期間区分F2[[#All],[行ラベル]],0),MATCH($AP$3,年齢階層×在院期間区分F2[#Headers],0)),0)+IFERROR(INDEX(年齢階層×在院期間区分F2[#All],MATCH($AH10,年齢階層×在院期間区分F2[[#All],[行ラベル]],0),MATCH($AQ$3,年齢階層×在院期間区分F2[#Headers],0)),0)</f>
        <v>572</v>
      </c>
      <c r="F10" s="206">
        <f t="shared" si="1"/>
        <v>0.26226501604768454</v>
      </c>
      <c r="G10" s="228">
        <f>IFERROR(INDEX(年齢階層×在院期間区分F2[#All],MATCH($AH10,年齢階層×在院期間区分F2[[#All],[行ラベル]],0),MATCH($AR$3,年齢階層×在院期間区分F2[#Headers],0)),0)+IFERROR(INDEX(年齢階層×在院期間区分F2[#All],MATCH($AH10,年齢階層×在院期間区分F2[[#All],[行ラベル]],0),MATCH($AS$3,年齢階層×在院期間区分F2[#Headers],0)),0)+IFERROR(INDEX(年齢階層×在院期間区分F2[#All],MATCH($AH10,年齢階層×在院期間区分F2[[#All],[行ラベル]],0),MATCH($AT$3,年齢階層×在院期間区分F2[#Headers],0)),0)+IFERROR(INDEX(年齢階層×在院期間区分F2[#All],MATCH($AH10,年齢階層×在院期間区分F2[[#All],[行ラベル]],0),MATCH($AU$3,年齢階層×在院期間区分F2[#Headers],0)),0)+IFERROR(INDEX(年齢階層×在院期間区分F2[#All],MATCH($AH10,年齢階層×在院期間区分F2[[#All],[行ラベル]],0),MATCH($AV$3,年齢階層×在院期間区分F2[#Headers],0)),0)</f>
        <v>300</v>
      </c>
      <c r="H10" s="206">
        <f t="shared" si="2"/>
        <v>0.23942537909018355</v>
      </c>
      <c r="I10" s="205">
        <f>IFERROR(INDEX(年齢階層×在院期間区分F2[#All],MATCH($AH10,年齢階層×在院期間区分F2[[#All],[行ラベル]],0),MATCH($AW$3,年齢階層×在院期間区分F2[#Headers],0)),0)+IFERROR(INDEX(年齢階層×在院期間区分F2[#All],MATCH($AH10,年齢階層×在院期間区分F2[[#All],[行ラベル]],0),MATCH($AX$3,年齢階層×在院期間区分F2[#Headers],0)),0)</f>
        <v>561</v>
      </c>
      <c r="J10" s="206">
        <f t="shared" si="3"/>
        <v>0.30538922155688625</v>
      </c>
      <c r="K10" s="205">
        <f t="shared" si="5"/>
        <v>1804</v>
      </c>
      <c r="L10" s="206">
        <f t="shared" si="4"/>
        <v>0.24614544958384499</v>
      </c>
      <c r="O10" s="53" t="s">
        <v>8</v>
      </c>
      <c r="P10" s="65">
        <v>73</v>
      </c>
      <c r="Q10" s="65">
        <v>117</v>
      </c>
      <c r="R10" s="65">
        <v>65</v>
      </c>
      <c r="S10" s="65">
        <v>116</v>
      </c>
      <c r="T10" s="65">
        <v>81</v>
      </c>
      <c r="U10" s="65">
        <v>92</v>
      </c>
      <c r="V10" s="65">
        <v>163</v>
      </c>
      <c r="W10" s="65">
        <v>128</v>
      </c>
      <c r="X10" s="65">
        <v>108</v>
      </c>
      <c r="Y10" s="65">
        <v>74</v>
      </c>
      <c r="Z10" s="65">
        <v>73</v>
      </c>
      <c r="AA10" s="65">
        <v>55</v>
      </c>
      <c r="AB10" s="65">
        <v>56</v>
      </c>
      <c r="AC10" s="65">
        <v>42</v>
      </c>
      <c r="AD10" s="65">
        <v>291</v>
      </c>
      <c r="AE10" s="65">
        <v>270</v>
      </c>
      <c r="AF10" s="65"/>
      <c r="AH10" s="53" t="s">
        <v>8</v>
      </c>
      <c r="AI10" s="66"/>
      <c r="AJ10" s="66"/>
      <c r="AL10" s="80"/>
    </row>
    <row r="11" spans="2:50" s="21" customFormat="1" ht="18.75" customHeight="1" x14ac:dyDescent="0.15">
      <c r="B11" s="227" t="s">
        <v>9</v>
      </c>
      <c r="C11" s="205">
        <f>IFERROR(INDEX(年齢階層×在院期間区分F2[#All],MATCH($AH11,年齢階層×在院期間区分F2[[#All],[行ラベル]],0),MATCH($AI$3,年齢階層×在院期間区分F2[#Headers],0)),0)+IFERROR(INDEX(年齢階層×在院期間区分F2[#All],MATCH($AH11,年齢階層×在院期間区分F2[[#All],[行ラベル]],0),MATCH($AJ$3,年齢階層×在院期間区分F2[#Headers],0)),0)+IFERROR(INDEX(年齢階層×在院期間区分F2[#All],MATCH($AH11,年齢階層×在院期間区分F2[[#All],[行ラベル]],0),MATCH($AK$3,年齢階層×在院期間区分F2[#Headers],0)),0)+IFERROR(INDEX(年齢階層×在院期間区分F2[#All],MATCH($AH11,年齢階層×在院期間区分F2[[#All],[行ラベル]],0),MATCH($AL$3,年齢階層×在院期間区分F2[#Headers],0)),0)</f>
        <v>180</v>
      </c>
      <c r="D11" s="206">
        <f t="shared" si="0"/>
        <v>8.7463556851311949E-2</v>
      </c>
      <c r="E11" s="228">
        <f>IFERROR(INDEX(年齢階層×在院期間区分F2[#All],MATCH($AH11,年齢階層×在院期間区分F2[[#All],[行ラベル]],0),MATCH($AM$3,年齢階層×在院期間区分F2[#Headers],0)),0)+IFERROR(INDEX(年齢階層×在院期間区分F2[#All],MATCH($AH11,年齢階層×在院期間区分F2[[#All],[行ラベル]],0),MATCH($AN$3,年齢階層×在院期間区分F2[#Headers],0)),0)+IFERROR(INDEX(年齢階層×在院期間区分F2[#All],MATCH($AH11,年齢階層×在院期間区分F2[[#All],[行ラベル]],0),MATCH($AO$3,年齢階層×在院期間区分F2[#Headers],0)),0)+IFERROR(INDEX(年齢階層×在院期間区分F2[#All],MATCH($AH11,年齢階層×在院期間区分F2[[#All],[行ラベル]],0),MATCH($AP$3,年齢階層×在院期間区分F2[#Headers],0)),0)+IFERROR(INDEX(年齢階層×在院期間区分F2[#All],MATCH($AH11,年齢階層×在院期間区分F2[[#All],[行ラベル]],0),MATCH($AQ$3,年齢階層×在院期間区分F2[#Headers],0)),0)</f>
        <v>261</v>
      </c>
      <c r="F11" s="206">
        <f t="shared" si="1"/>
        <v>0.11966987620357634</v>
      </c>
      <c r="G11" s="228">
        <f>IFERROR(INDEX(年齢階層×在院期間区分F2[#All],MATCH($AH11,年齢階層×在院期間区分F2[[#All],[行ラベル]],0),MATCH($AR$3,年齢階層×在院期間区分F2[#Headers],0)),0)+IFERROR(INDEX(年齢階層×在院期間区分F2[#All],MATCH($AH11,年齢階層×在院期間区分F2[[#All],[行ラベル]],0),MATCH($AS$3,年齢階層×在院期間区分F2[#Headers],0)),0)+IFERROR(INDEX(年齢階層×在院期間区分F2[#All],MATCH($AH11,年齢階層×在院期間区分F2[[#All],[行ラベル]],0),MATCH($AT$3,年齢階層×在院期間区分F2[#Headers],0)),0)+IFERROR(INDEX(年齢階層×在院期間区分F2[#All],MATCH($AH11,年齢階層×在院期間区分F2[[#All],[行ラベル]],0),MATCH($AU$3,年齢階層×在院期間区分F2[#Headers],0)),0)+IFERROR(INDEX(年齢階層×在院期間区分F2[#All],MATCH($AH11,年齢階層×在院期間区分F2[[#All],[行ラベル]],0),MATCH($AV$3,年齢階層×在院期間区分F2[#Headers],0)),0)</f>
        <v>121</v>
      </c>
      <c r="H11" s="206">
        <f t="shared" si="2"/>
        <v>9.65682362330407E-2</v>
      </c>
      <c r="I11" s="229">
        <f>IFERROR(INDEX(年齢階層×在院期間区分F2[#All],MATCH($AH11,年齢階層×在院期間区分F2[[#All],[行ラベル]],0),MATCH($AW$3,年齢階層×在院期間区分F2[#Headers],0)),0)+IFERROR(INDEX(年齢階層×在院期間区分F2[#All],MATCH($AH11,年齢階層×在院期間区分F2[[#All],[行ラベル]],0),MATCH($AX$3,年齢階層×在院期間区分F2[#Headers],0)),0)</f>
        <v>206</v>
      </c>
      <c r="J11" s="206">
        <f t="shared" si="3"/>
        <v>0.11213935764833968</v>
      </c>
      <c r="K11" s="205">
        <f t="shared" si="5"/>
        <v>768</v>
      </c>
      <c r="L11" s="206">
        <f t="shared" si="4"/>
        <v>0.10478919361440851</v>
      </c>
      <c r="O11" s="53" t="s">
        <v>9</v>
      </c>
      <c r="P11" s="65">
        <v>36</v>
      </c>
      <c r="Q11" s="65">
        <v>42</v>
      </c>
      <c r="R11" s="65">
        <v>41</v>
      </c>
      <c r="S11" s="65">
        <v>61</v>
      </c>
      <c r="T11" s="65">
        <v>39</v>
      </c>
      <c r="U11" s="65">
        <v>31</v>
      </c>
      <c r="V11" s="65">
        <v>66</v>
      </c>
      <c r="W11" s="65">
        <v>70</v>
      </c>
      <c r="X11" s="65">
        <v>55</v>
      </c>
      <c r="Y11" s="65">
        <v>38</v>
      </c>
      <c r="Z11" s="65">
        <v>25</v>
      </c>
      <c r="AA11" s="65">
        <v>21</v>
      </c>
      <c r="AB11" s="65">
        <v>19</v>
      </c>
      <c r="AC11" s="65">
        <v>18</v>
      </c>
      <c r="AD11" s="65">
        <v>109</v>
      </c>
      <c r="AE11" s="65">
        <v>97</v>
      </c>
      <c r="AF11" s="65"/>
      <c r="AH11" s="53" t="s">
        <v>9</v>
      </c>
      <c r="AI11" s="66"/>
      <c r="AJ11" s="66"/>
      <c r="AL11" s="80"/>
    </row>
    <row r="12" spans="2:50" s="21" customFormat="1" ht="18.75" customHeight="1" thickBot="1" x14ac:dyDescent="0.2">
      <c r="B12" s="230" t="s">
        <v>10</v>
      </c>
      <c r="C12" s="231">
        <f>IFERROR(INDEX(年齢階層×在院期間区分F2[#All],MATCH($AH12,年齢階層×在院期間区分F2[[#All],[行ラベル]],0),MATCH($AI$3,年齢階層×在院期間区分F2[#Headers],0)),0)+IFERROR(INDEX(年齢階層×在院期間区分F2[#All],MATCH($AH12,年齢階層×在院期間区分F2[[#All],[行ラベル]],0),MATCH($AJ$3,年齢階層×在院期間区分F2[#Headers],0)),0)+IFERROR(INDEX(年齢階層×在院期間区分F2[#All],MATCH($AH12,年齢階層×在院期間区分F2[[#All],[行ラベル]],0),MATCH($AK$3,年齢階層×在院期間区分F2[#Headers],0)),0)+IFERROR(INDEX(年齢階層×在院期間区分F2[#All],MATCH($AH12,年齢階層×在院期間区分F2[[#All],[行ラベル]],0),MATCH($AL$3,年齢階層×在院期間区分F2[#Headers],0)),0)</f>
        <v>20</v>
      </c>
      <c r="D12" s="222">
        <f t="shared" si="0"/>
        <v>9.7181729834791061E-3</v>
      </c>
      <c r="E12" s="208">
        <f>IFERROR(INDEX(年齢階層×在院期間区分F2[#All],MATCH($AH12,年齢階層×在院期間区分F2[[#All],[行ラベル]],0),MATCH($AM$3,年齢階層×在院期間区分F2[#Headers],0)),0)+IFERROR(INDEX(年齢階層×在院期間区分F2[#All],MATCH($AH12,年齢階層×在院期間区分F2[[#All],[行ラベル]],0),MATCH($AN$3,年齢階層×在院期間区分F2[#Headers],0)),0)+IFERROR(INDEX(年齢階層×在院期間区分F2[#All],MATCH($AH12,年齢階層×在院期間区分F2[[#All],[行ラベル]],0),MATCH($AO$3,年齢階層×在院期間区分F2[#Headers],0)),0)+IFERROR(INDEX(年齢階層×在院期間区分F2[#All],MATCH($AH12,年齢階層×在院期間区分F2[[#All],[行ラベル]],0),MATCH($AP$3,年齢階層×在院期間区分F2[#Headers],0)),0)+IFERROR(INDEX(年齢階層×在院期間区分F2[#All],MATCH($AH12,年齢階層×在院期間区分F2[[#All],[行ラベル]],0),MATCH($AQ$3,年齢階層×在院期間区分F2[#Headers],0)),0)</f>
        <v>19</v>
      </c>
      <c r="F12" s="222">
        <f t="shared" si="1"/>
        <v>8.7116001834021094E-3</v>
      </c>
      <c r="G12" s="208">
        <f>IFERROR(INDEX(年齢階層×在院期間区分F2[#All],MATCH($AH12,年齢階層×在院期間区分F2[[#All],[行ラベル]],0),MATCH($AR$3,年齢階層×在院期間区分F2[#Headers],0)),0)+IFERROR(INDEX(年齢階層×在院期間区分F2[#All],MATCH($AH12,年齢階層×在院期間区分F2[[#All],[行ラベル]],0),MATCH($AS$3,年齢階層×在院期間区分F2[#Headers],0)),0)+IFERROR(INDEX(年齢階層×在院期間区分F2[#All],MATCH($AH12,年齢階層×在院期間区分F2[[#All],[行ラベル]],0),MATCH($AT$3,年齢階層×在院期間区分F2[#Headers],0)),0)+IFERROR(INDEX(年齢階層×在院期間区分F2[#All],MATCH($AH12,年齢階層×在院期間区分F2[[#All],[行ラベル]],0),MATCH($AU$3,年齢階層×在院期間区分F2[#Headers],0)),0)+IFERROR(INDEX(年齢階層×在院期間区分F2[#All],MATCH($AH12,年齢階層×在院期間区分F2[[#All],[行ラベル]],0),MATCH($AV$3,年齢階層×在院期間区分F2[#Headers],0)),0)</f>
        <v>12</v>
      </c>
      <c r="H12" s="222">
        <f t="shared" si="2"/>
        <v>9.5770151636073424E-3</v>
      </c>
      <c r="I12" s="208">
        <f>IFERROR(INDEX(年齢階層×在院期間区分F2[#All],MATCH($AH12,年齢階層×在院期間区分F2[[#All],[行ラベル]],0),MATCH($AW$3,年齢階層×在院期間区分F2[#Headers],0)),0)+IFERROR(INDEX(年齢階層×在院期間区分F2[#All],MATCH($AH12,年齢階層×在院期間区分F2[[#All],[行ラベル]],0),MATCH($AX$3,年齢階層×在院期間区分F2[#Headers],0)),0)</f>
        <v>28</v>
      </c>
      <c r="J12" s="222">
        <f t="shared" si="3"/>
        <v>1.5242242787152967E-2</v>
      </c>
      <c r="K12" s="208">
        <f t="shared" si="5"/>
        <v>79</v>
      </c>
      <c r="L12" s="222">
        <f t="shared" si="4"/>
        <v>1.0779096738982126E-2</v>
      </c>
      <c r="O12" s="53" t="s">
        <v>10</v>
      </c>
      <c r="P12" s="65">
        <v>4</v>
      </c>
      <c r="Q12" s="65">
        <v>3</v>
      </c>
      <c r="R12" s="65">
        <v>4</v>
      </c>
      <c r="S12" s="65">
        <v>9</v>
      </c>
      <c r="T12" s="65">
        <v>1</v>
      </c>
      <c r="U12" s="65">
        <v>2</v>
      </c>
      <c r="V12" s="65">
        <v>4</v>
      </c>
      <c r="W12" s="65">
        <v>7</v>
      </c>
      <c r="X12" s="65">
        <v>5</v>
      </c>
      <c r="Y12" s="65">
        <v>4</v>
      </c>
      <c r="Z12" s="65">
        <v>4</v>
      </c>
      <c r="AA12" s="65">
        <v>1</v>
      </c>
      <c r="AB12" s="65">
        <v>2</v>
      </c>
      <c r="AC12" s="65">
        <v>1</v>
      </c>
      <c r="AD12" s="65">
        <v>11</v>
      </c>
      <c r="AE12" s="65">
        <v>17</v>
      </c>
      <c r="AF12" s="726"/>
      <c r="AH12" s="53" t="s">
        <v>10</v>
      </c>
      <c r="AI12" s="66"/>
      <c r="AJ12" s="66"/>
      <c r="AL12" s="80"/>
    </row>
    <row r="13" spans="2:50" s="21" customFormat="1" ht="18.75" customHeight="1" thickTop="1" thickBot="1" x14ac:dyDescent="0.2">
      <c r="B13" s="232" t="s">
        <v>161</v>
      </c>
      <c r="C13" s="233">
        <f>SUM(C4:C12)</f>
        <v>2058</v>
      </c>
      <c r="D13" s="234">
        <f t="shared" ref="D13:L13" si="6">SUM(D4:D12)</f>
        <v>1</v>
      </c>
      <c r="E13" s="233">
        <f>SUM(E4:E12)</f>
        <v>2181</v>
      </c>
      <c r="F13" s="234">
        <f t="shared" si="6"/>
        <v>0.99999999999999989</v>
      </c>
      <c r="G13" s="233">
        <f>SUM(G4:G12)</f>
        <v>1253</v>
      </c>
      <c r="H13" s="234">
        <f t="shared" si="6"/>
        <v>1</v>
      </c>
      <c r="I13" s="233">
        <f>SUM(I4:I12)</f>
        <v>1837</v>
      </c>
      <c r="J13" s="234">
        <f t="shared" si="6"/>
        <v>1</v>
      </c>
      <c r="K13" s="233">
        <f>SUM(K4:K12)</f>
        <v>7329</v>
      </c>
      <c r="L13" s="234">
        <f t="shared" si="6"/>
        <v>1</v>
      </c>
      <c r="O13" s="425" t="s">
        <v>308</v>
      </c>
      <c r="P13" s="489" t="s">
        <v>182</v>
      </c>
      <c r="Q13" s="61" t="s">
        <v>183</v>
      </c>
      <c r="R13" s="61" t="s">
        <v>184</v>
      </c>
      <c r="S13" s="61" t="s">
        <v>185</v>
      </c>
      <c r="T13" s="61" t="s">
        <v>186</v>
      </c>
      <c r="U13" s="61" t="s">
        <v>187</v>
      </c>
      <c r="V13" s="61" t="s">
        <v>188</v>
      </c>
      <c r="W13" s="61" t="s">
        <v>189</v>
      </c>
      <c r="X13" s="61" t="s">
        <v>190</v>
      </c>
      <c r="Y13" s="61" t="s">
        <v>191</v>
      </c>
      <c r="Z13" s="61" t="s">
        <v>192</v>
      </c>
      <c r="AA13" s="61" t="s">
        <v>193</v>
      </c>
      <c r="AB13" s="61" t="s">
        <v>194</v>
      </c>
      <c r="AC13" s="61" t="s">
        <v>195</v>
      </c>
      <c r="AD13" s="61" t="s">
        <v>196</v>
      </c>
      <c r="AE13" s="373" t="s">
        <v>197</v>
      </c>
      <c r="AF13" s="83" t="s">
        <v>604</v>
      </c>
      <c r="AH13" s="80"/>
      <c r="AI13" s="80"/>
      <c r="AL13" s="80"/>
    </row>
    <row r="14" spans="2:50" s="21" customFormat="1" ht="18.75" customHeight="1" thickTop="1" x14ac:dyDescent="0.15">
      <c r="B14" s="235" t="s">
        <v>93</v>
      </c>
      <c r="C14" s="236">
        <f>IFERROR(INDEX(年齢階層×在院期間区分F2_65歳未満以上[#All],MATCH($AH14,年齢階層×在院期間区分F2_65歳未満以上[[#All],[列1]],0),MATCH($AI$3,年齢階層×在院期間区分F2_65歳未満以上[#Headers],0)),0)+IFERROR(INDEX(年齢階層×在院期間区分F2_65歳未満以上[#All],MATCH($AH14,年齢階層×在院期間区分F2_65歳未満以上[[#All],[列1]],0),MATCH($AJ$3,年齢階層×在院期間区分F2_65歳未満以上[#Headers],0)),0)+IFERROR(INDEX(年齢階層×在院期間区分F2_65歳未満以上[#All],MATCH($AH14,年齢階層×在院期間区分F2_65歳未満以上[[#All],[列1]],0),MATCH($AK$3,年齢階層×在院期間区分F2_65歳未満以上[#Headers],0)),0)+IFERROR(INDEX(年齢階層×在院期間区分F2_65歳未満以上[#All],MATCH($AH14,年齢階層×在院期間区分F2_65歳未満以上[[#All],[列1]],0),MATCH($AL$3,年齢階層×在院期間区分F2_65歳未満以上[#Headers],0)),0)</f>
        <v>1305</v>
      </c>
      <c r="D14" s="207">
        <f>IFERROR(C14/$C$13,"-")</f>
        <v>0.63411078717201164</v>
      </c>
      <c r="E14" s="236">
        <f>IFERROR(INDEX(年齢階層×在院期間区分F2_65歳未満以上[#All],MATCH($AH14,年齢階層×在院期間区分F2_65歳未満以上[[#All],[列1]],0),MATCH($AM$3,年齢階層×在院期間区分F2_65歳未満以上[#Headers],0)),0)+IFERROR(INDEX(年齢階層×在院期間区分F2_65歳未満以上[#All],MATCH($AH14,年齢階層×在院期間区分F2_65歳未満以上[[#All],[列1]],0),MATCH($AN$3,年齢階層×在院期間区分F2_65歳未満以上[#Headers],0)),0)+IFERROR(INDEX(年齢階層×在院期間区分F2_65歳未満以上[#All],MATCH($AH14,年齢階層×在院期間区分F2_65歳未満以上[[#All],[列1]],0),MATCH($AO$3,年齢階層×在院期間区分F2_65歳未満以上[#Headers],0)),0)+IFERROR(INDEX(年齢階層×在院期間区分F2_65歳未満以上[#All],MATCH($AH14,年齢階層×在院期間区分F2_65歳未満以上[[#All],[列1]],0),MATCH($AP$3,年齢階層×在院期間区分F2_65歳未満以上[#Headers],0)),0)+IFERROR(INDEX(年齢階層×在院期間区分F2_65歳未満以上[#All],MATCH($AH14,年齢階層×在院期間区分F2_65歳未満以上[[#All],[列1]],0),MATCH($AQ$3,年齢階層×在院期間区分F2_65歳未満以上[#Headers],0)),0)</f>
        <v>1073</v>
      </c>
      <c r="F14" s="207">
        <f>IFERROR(E14/$E$13,"-")</f>
        <v>0.49197615772581382</v>
      </c>
      <c r="G14" s="236">
        <f>IFERROR(INDEX(年齢階層×在院期間区分F2_65歳未満以上[#All],MATCH($AH14,年齢階層×在院期間区分F2_65歳未満以上[[#All],[列1]],0),MATCH($AR$3,年齢階層×在院期間区分F2_65歳未満以上[#Headers],0)),0)+IFERROR(INDEX(年齢階層×在院期間区分F2_65歳未満以上[#All],MATCH($AH14,年齢階層×在院期間区分F2_65歳未満以上[[#All],[列1]],0),MATCH($AS$3,年齢階層×在院期間区分F2_65歳未満以上[#Headers],0)),0)+IFERROR(INDEX(年齢階層×在院期間区分F2_65歳未満以上[#All],MATCH($AH14,年齢階層×在院期間区分F2_65歳未満以上[[#All],[列1]],0),MATCH($AT$3,年齢階層×在院期間区分F2_65歳未満以上[#Headers],0)),0)+IFERROR(INDEX(年齢階層×在院期間区分F2_65歳未満以上[#All],MATCH($AH14,年齢階層×在院期間区分F2_65歳未満以上[[#All],[列1]],0),MATCH($AU$3,年齢階層×在院期間区分F2_65歳未満以上[#Headers],0)),0)+IFERROR(INDEX(年齢階層×在院期間区分F2_65歳未満以上[#All],MATCH($AH14,年齢階層×在院期間区分F2_65歳未満以上[[#All],[列1]],0),MATCH($AV$3,年齢階層×在院期間区分F2_65歳未満以上[#Headers],0)),0)</f>
        <v>666</v>
      </c>
      <c r="H14" s="207">
        <f>IFERROR(G14/$G$13,"-")</f>
        <v>0.53152434158020745</v>
      </c>
      <c r="I14" s="236">
        <f>IFERROR(INDEX(年齢階層×在院期間区分F2_65歳未満以上[#All],MATCH($AH14,年齢階層×在院期間区分F2_65歳未満以上[[#All],[列1]],0),MATCH($AW$3,年齢階層×在院期間区分F2_65歳未満以上[#Headers],0)),0)+IFERROR(INDEX(年齢階層×在院期間区分F2_65歳未満以上[#All],MATCH($AH14,年齢階層×在院期間区分F2_65歳未満以上[[#All],[列1]],0),MATCH($AX$3,年齢階層×在院期間区分F2_65歳未満以上[#Headers],0)),0)</f>
        <v>826</v>
      </c>
      <c r="J14" s="207">
        <f>IFERROR(I14/$I$13,"-")</f>
        <v>0.4496461622210125</v>
      </c>
      <c r="K14" s="236">
        <f>C14+E14+G14+I14</f>
        <v>3870</v>
      </c>
      <c r="L14" s="207">
        <f>IFERROR(K14/$K$13,"-")</f>
        <v>0.52803929594760546</v>
      </c>
      <c r="O14" s="53" t="s">
        <v>306</v>
      </c>
      <c r="P14" s="65">
        <v>377</v>
      </c>
      <c r="Q14" s="540">
        <v>440</v>
      </c>
      <c r="R14" s="65">
        <v>224</v>
      </c>
      <c r="S14" s="65">
        <v>264</v>
      </c>
      <c r="T14" s="65">
        <v>188</v>
      </c>
      <c r="U14" s="65">
        <v>152</v>
      </c>
      <c r="V14" s="65">
        <v>272</v>
      </c>
      <c r="W14" s="65">
        <v>240</v>
      </c>
      <c r="X14" s="65">
        <v>221</v>
      </c>
      <c r="Y14" s="65">
        <v>178</v>
      </c>
      <c r="Z14" s="65">
        <v>134</v>
      </c>
      <c r="AA14" s="65">
        <v>149</v>
      </c>
      <c r="AB14" s="65">
        <v>105</v>
      </c>
      <c r="AC14" s="65">
        <v>100</v>
      </c>
      <c r="AD14" s="65">
        <v>559</v>
      </c>
      <c r="AE14" s="65">
        <v>267</v>
      </c>
      <c r="AF14" s="725"/>
      <c r="AH14" s="82" t="s">
        <v>156</v>
      </c>
    </row>
    <row r="15" spans="2:50" s="21" customFormat="1" ht="18.75" customHeight="1" x14ac:dyDescent="0.15">
      <c r="B15" s="237" t="s">
        <v>89</v>
      </c>
      <c r="C15" s="236">
        <f>IFERROR(INDEX(年齢階層×在院期間区分F2_65歳未満以上[#All],MATCH($AH15,年齢階層×在院期間区分F2_65歳未満以上[[#All],[列1]],0),MATCH($AI$3,年齢階層×在院期間区分F2_65歳未満以上[#Headers],0)),0)+IFERROR(INDEX(年齢階層×在院期間区分F2_65歳未満以上[#All],MATCH($AH15,年齢階層×在院期間区分F2_65歳未満以上[[#All],[列1]],0),MATCH($AJ$3,年齢階層×在院期間区分F2_65歳未満以上[#Headers],0)),0)+IFERROR(INDEX(年齢階層×在院期間区分F2_65歳未満以上[#All],MATCH($AH15,年齢階層×在院期間区分F2_65歳未満以上[[#All],[列1]],0),MATCH($AK$3,年齢階層×在院期間区分F2_65歳未満以上[#Headers],0)),0)+IFERROR(INDEX(年齢階層×在院期間区分F2_65歳未満以上[#All],MATCH($AH15,年齢階層×在院期間区分F2_65歳未満以上[[#All],[列1]],0),MATCH($AL$3,年齢階層×在院期間区分F2_65歳未満以上[#Headers],0)),0)</f>
        <v>753</v>
      </c>
      <c r="D15" s="238">
        <f>IFERROR(C15/$C$13,"-")</f>
        <v>0.36588921282798836</v>
      </c>
      <c r="E15" s="236">
        <f>IFERROR(INDEX(年齢階層×在院期間区分F2_65歳未満以上[#All],MATCH($AH15,年齢階層×在院期間区分F2_65歳未満以上[[#All],[列1]],0),MATCH($AM$3,年齢階層×在院期間区分F2_65歳未満以上[#Headers],0)),0)+IFERROR(INDEX(年齢階層×在院期間区分F2_65歳未満以上[#All],MATCH($AH15,年齢階層×在院期間区分F2_65歳未満以上[[#All],[列1]],0),MATCH($AN$3,年齢階層×在院期間区分F2_65歳未満以上[#Headers],0)),0)+IFERROR(INDEX(年齢階層×在院期間区分F2_65歳未満以上[#All],MATCH($AH15,年齢階層×在院期間区分F2_65歳未満以上[[#All],[列1]],0),MATCH($AO$3,年齢階層×在院期間区分F2_65歳未満以上[#Headers],0)),0)+IFERROR(INDEX(年齢階層×在院期間区分F2_65歳未満以上[#All],MATCH($AH15,年齢階層×在院期間区分F2_65歳未満以上[[#All],[列1]],0),MATCH($AP$3,年齢階層×在院期間区分F2_65歳未満以上[#Headers],0)),0)+IFERROR(INDEX(年齢階層×在院期間区分F2_65歳未満以上[#All],MATCH($AH15,年齢階層×在院期間区分F2_65歳未満以上[[#All],[列1]],0),MATCH($AQ$3,年齢階層×在院期間区分F2_65歳未満以上[#Headers],0)),0)</f>
        <v>1108</v>
      </c>
      <c r="F15" s="238">
        <f>IFERROR(E15/$E$13,"-")</f>
        <v>0.50802384227418618</v>
      </c>
      <c r="G15" s="236">
        <f>IFERROR(INDEX(年齢階層×在院期間区分F2_65歳未満以上[#All],MATCH($AH15,年齢階層×在院期間区分F2_65歳未満以上[[#All],[列1]],0),MATCH($AR$3,年齢階層×在院期間区分F2_65歳未満以上[#Headers],0)),0)+IFERROR(INDEX(年齢階層×在院期間区分F2_65歳未満以上[#All],MATCH($AH15,年齢階層×在院期間区分F2_65歳未満以上[[#All],[列1]],0),MATCH($AS$3,年齢階層×在院期間区分F2_65歳未満以上[#Headers],0)),0)+IFERROR(INDEX(年齢階層×在院期間区分F2_65歳未満以上[#All],MATCH($AH15,年齢階層×在院期間区分F2_65歳未満以上[[#All],[列1]],0),MATCH($AT$3,年齢階層×在院期間区分F2_65歳未満以上[#Headers],0)),0)+IFERROR(INDEX(年齢階層×在院期間区分F2_65歳未満以上[#All],MATCH($AH15,年齢階層×在院期間区分F2_65歳未満以上[[#All],[列1]],0),MATCH($AU$3,年齢階層×在院期間区分F2_65歳未満以上[#Headers],0)),0)+IFERROR(INDEX(年齢階層×在院期間区分F2_65歳未満以上[#All],MATCH($AH15,年齢階層×在院期間区分F2_65歳未満以上[[#All],[列1]],0),MATCH($AV$3,年齢階層×在院期間区分F2_65歳未満以上[#Headers],0)),0)</f>
        <v>587</v>
      </c>
      <c r="H15" s="238">
        <f>IFERROR(G15/$G$13,"-")</f>
        <v>0.4684756584197925</v>
      </c>
      <c r="I15" s="236">
        <f>IFERROR(INDEX(年齢階層×在院期間区分F2_65歳未満以上[#All],MATCH($AH15,年齢階層×在院期間区分F2_65歳未満以上[[#All],[列1]],0),MATCH($AW$3,年齢階層×在院期間区分F2_65歳未満以上[#Headers],0)),0)+IFERROR(INDEX(年齢階層×在院期間区分F2_65歳未満以上[#All],MATCH($AH15,年齢階層×在院期間区分F2_65歳未満以上[[#All],[列1]],0),MATCH($AX$3,年齢階層×在院期間区分F2_65歳未満以上[#Headers],0)),0)</f>
        <v>1011</v>
      </c>
      <c r="J15" s="238">
        <f>IFERROR(I15/$I$13,"-")</f>
        <v>0.5503538377789875</v>
      </c>
      <c r="K15" s="236">
        <f>C15+E15+G15+I15</f>
        <v>3459</v>
      </c>
      <c r="L15" s="238">
        <f>IFERROR(K15/$K$13,"-")</f>
        <v>0.4719607040523946</v>
      </c>
      <c r="O15" s="53" t="s">
        <v>307</v>
      </c>
      <c r="P15" s="65">
        <v>160</v>
      </c>
      <c r="Q15" s="540">
        <v>203</v>
      </c>
      <c r="R15" s="65">
        <v>144</v>
      </c>
      <c r="S15" s="65">
        <v>246</v>
      </c>
      <c r="T15" s="65">
        <v>168</v>
      </c>
      <c r="U15" s="65">
        <v>167</v>
      </c>
      <c r="V15" s="65">
        <v>310</v>
      </c>
      <c r="W15" s="65">
        <v>257</v>
      </c>
      <c r="X15" s="65">
        <v>206</v>
      </c>
      <c r="Y15" s="65">
        <v>155</v>
      </c>
      <c r="Z15" s="65">
        <v>140</v>
      </c>
      <c r="AA15" s="65">
        <v>103</v>
      </c>
      <c r="AB15" s="65">
        <v>106</v>
      </c>
      <c r="AC15" s="65">
        <v>83</v>
      </c>
      <c r="AD15" s="65">
        <v>536</v>
      </c>
      <c r="AE15" s="65">
        <v>475</v>
      </c>
      <c r="AF15" s="726"/>
      <c r="AH15" s="82" t="s">
        <v>88</v>
      </c>
    </row>
    <row r="16" spans="2:50" ht="18.75" customHeight="1" x14ac:dyDescent="0.15"/>
    <row r="17" spans="2:38" ht="18.75" customHeight="1" x14ac:dyDescent="0.15">
      <c r="B17" s="2" t="s">
        <v>75</v>
      </c>
    </row>
    <row r="18" spans="2:38" ht="18.75" customHeight="1" thickBot="1" x14ac:dyDescent="0.2">
      <c r="B18" s="961" t="s">
        <v>65</v>
      </c>
      <c r="C18" s="963" t="s">
        <v>64</v>
      </c>
      <c r="D18" s="964"/>
      <c r="E18" s="964"/>
      <c r="F18" s="964"/>
      <c r="G18" s="964"/>
      <c r="H18" s="964"/>
      <c r="I18" s="964"/>
      <c r="J18" s="964"/>
      <c r="K18" s="964"/>
      <c r="L18" s="965"/>
      <c r="O18" s="33" t="s">
        <v>63</v>
      </c>
    </row>
    <row r="19" spans="2:38" ht="18.75" customHeight="1" thickTop="1" thickBot="1" x14ac:dyDescent="0.2">
      <c r="B19" s="962"/>
      <c r="C19" s="966" t="s">
        <v>69</v>
      </c>
      <c r="D19" s="967"/>
      <c r="E19" s="966" t="s">
        <v>70</v>
      </c>
      <c r="F19" s="967"/>
      <c r="G19" s="966" t="s">
        <v>71</v>
      </c>
      <c r="H19" s="967"/>
      <c r="I19" s="966" t="s">
        <v>72</v>
      </c>
      <c r="J19" s="967"/>
      <c r="K19" s="966" t="s">
        <v>62</v>
      </c>
      <c r="L19" s="967"/>
      <c r="O19" s="425" t="s">
        <v>373</v>
      </c>
      <c r="P19" s="489" t="s">
        <v>182</v>
      </c>
      <c r="Q19" s="61" t="s">
        <v>183</v>
      </c>
      <c r="R19" s="61" t="s">
        <v>184</v>
      </c>
      <c r="S19" s="61" t="s">
        <v>185</v>
      </c>
      <c r="T19" s="61" t="s">
        <v>186</v>
      </c>
      <c r="U19" s="61" t="s">
        <v>187</v>
      </c>
      <c r="V19" s="61" t="s">
        <v>188</v>
      </c>
      <c r="W19" s="61" t="s">
        <v>189</v>
      </c>
      <c r="X19" s="61" t="s">
        <v>190</v>
      </c>
      <c r="Y19" s="61" t="s">
        <v>191</v>
      </c>
      <c r="Z19" s="61" t="s">
        <v>192</v>
      </c>
      <c r="AA19" s="61" t="s">
        <v>193</v>
      </c>
      <c r="AB19" s="61" t="s">
        <v>194</v>
      </c>
      <c r="AC19" s="61" t="s">
        <v>195</v>
      </c>
      <c r="AD19" s="61" t="s">
        <v>196</v>
      </c>
      <c r="AE19" s="373" t="s">
        <v>197</v>
      </c>
    </row>
    <row r="20" spans="2:38" s="21" customFormat="1" ht="18.75" customHeight="1" thickTop="1" x14ac:dyDescent="0.15">
      <c r="B20" s="225" t="s">
        <v>2</v>
      </c>
      <c r="C20" s="226">
        <f>IFERROR(INDEX(年齢階層×在院期間区分F2＿寛解・院内寛解[#All],MATCH($AH4,年齢階層×在院期間区分F2＿寛解・院内寛解[[#All],[行ラベル]],0),MATCH($AI$3,年齢階層×在院期間区分F2＿寛解・院内寛解[#Headers],0)),0)+IFERROR(INDEX(年齢階層×在院期間区分F2＿寛解・院内寛解[#All],MATCH($AH4,年齢階層×在院期間区分F2＿寛解・院内寛解[[#All],[行ラベル]],0),MATCH($AJ$3,年齢階層×在院期間区分F2＿寛解・院内寛解[#Headers],0)),0)+IFERROR(INDEX(年齢階層×在院期間区分F2＿寛解・院内寛解[#All],MATCH($AH4,年齢階層×在院期間区分F2＿寛解・院内寛解[[#All],[行ラベル]],0),MATCH($AK$3,年齢階層×在院期間区分F2＿寛解・院内寛解[#Headers],0)),0)+IFERROR(INDEX(年齢階層×在院期間区分F2＿寛解・院内寛解[#All],MATCH($AH4,年齢階層×在院期間区分F2＿寛解・院内寛解[[#All],[行ラベル]],0),MATCH($AL$3,年齢階層×在院期間区分F2＿寛解・院内寛解[#Headers],0)),0)</f>
        <v>3</v>
      </c>
      <c r="D20" s="239">
        <f t="shared" ref="D20:D28" si="7">IFERROR(C20/$C$29,"-")</f>
        <v>9.3749999999999997E-3</v>
      </c>
      <c r="E20" s="226">
        <f>IFERROR(INDEX(年齢階層×在院期間区分F2＿寛解・院内寛解[#All],MATCH($AH4,年齢階層×在院期間区分F2＿寛解・院内寛解[[#All],[行ラベル]],0),MATCH($AM$3,年齢階層×在院期間区分F2＿寛解・院内寛解[#Headers],0)),0)+IFERROR(INDEX(年齢階層×在院期間区分F2＿寛解・院内寛解[#All],MATCH($AH4,年齢階層×在院期間区分F2＿寛解・院内寛解[[#All],[行ラベル]],0),MATCH($AN$3,年齢階層×在院期間区分F2＿寛解・院内寛解[#Headers],0)),0)+IFERROR(INDEX(年齢階層×在院期間区分F2＿寛解・院内寛解[#All],MATCH($AH4,年齢階層×在院期間区分F2＿寛解・院内寛解[[#All],[行ラベル]],0),MATCH($AO$3,年齢階層×在院期間区分F2＿寛解・院内寛解[#Headers],0)),0)+IFERROR(INDEX(年齢階層×在院期間区分F2＿寛解・院内寛解[#All],MATCH($AH4,年齢階層×在院期間区分F2＿寛解・院内寛解[[#All],[行ラベル]],0),MATCH($AP$3,年齢階層×在院期間区分F2＿寛解・院内寛解[#Headers],0)),0)+IFERROR(INDEX(年齢階層×在院期間区分F2＿寛解・院内寛解[#All],MATCH($AH4,年齢階層×在院期間区分F2＿寛解・院内寛解[[#All],[行ラベル]],0),MATCH($AQ$3,年齢階層×在院期間区分F2＿寛解・院内寛解[#Headers],0)),0)</f>
        <v>1</v>
      </c>
      <c r="F20" s="239">
        <f t="shared" ref="F20:F28" si="8">IFERROR(E20/$E$29,"-")</f>
        <v>6.1728395061728392E-3</v>
      </c>
      <c r="G20" s="220">
        <f>IFERROR(INDEX(年齢階層×在院期間区分F2＿寛解・院内寛解[#All],MATCH($AH4,年齢階層×在院期間区分F2＿寛解・院内寛解[[#All],[行ラベル]],0),MATCH($AR$3,年齢階層×在院期間区分F2＿寛解・院内寛解[#Headers],0)),0)+IFERROR(INDEX(年齢階層×在院期間区分F2＿寛解・院内寛解[#All],MATCH($AH4,年齢階層×在院期間区分F2＿寛解・院内寛解[[#All],[行ラベル]],0),MATCH($AS$3,年齢階層×在院期間区分F2＿寛解・院内寛解[#Headers],0)),0)+IFERROR(INDEX(年齢階層×在院期間区分F2＿寛解・院内寛解[#All],MATCH($AH4,年齢階層×在院期間区分F2＿寛解・院内寛解[[#All],[行ラベル]],0),MATCH($AT$3,年齢階層×在院期間区分F2＿寛解・院内寛解[#Headers],0)),0)+IFERROR(INDEX(年齢階層×在院期間区分F2＿寛解・院内寛解[#All],MATCH($AH4,年齢階層×在院期間区分F2＿寛解・院内寛解[[#All],[行ラベル]],0),MATCH($AU$3,年齢階層×在院期間区分F2＿寛解・院内寛解[#Headers],0)),0)+IFERROR(INDEX(年齢階層×在院期間区分F2＿寛解・院内寛解[#All],MATCH($AH4,年齢階層×在院期間区分F2＿寛解・院内寛解[[#All],[行ラベル]],0),MATCH($AV$3,年齢階層×在院期間区分F2＿寛解・院内寛解[#Headers],0)),0)</f>
        <v>0</v>
      </c>
      <c r="H20" s="239">
        <f t="shared" ref="H20:H28" si="9">IFERROR(G20/$G$29,"-")</f>
        <v>0</v>
      </c>
      <c r="I20" s="226">
        <f>IFERROR(INDEX(年齢階層×在院期間区分F2＿寛解・院内寛解[#All],MATCH($AH4,年齢階層×在院期間区分F2＿寛解・院内寛解[[#All],[行ラベル]],0),MATCH($AW$3,年齢階層×在院期間区分F2＿寛解・院内寛解[#Headers],0)),0)+IFERROR(INDEX(年齢階層×在院期間区分F2＿寛解・院内寛解[#All],MATCH($AH4,年齢階層×在院期間区分F2＿寛解・院内寛解[[#All],[行ラベル]],0),MATCH($AX$3,年齢階層×在院期間区分F2＿寛解・院内寛解[#Headers],0)),0)</f>
        <v>0</v>
      </c>
      <c r="J20" s="239">
        <f t="shared" ref="J20:J28" si="10">IFERROR(I20/$I$29,"-")</f>
        <v>0</v>
      </c>
      <c r="K20" s="220">
        <f t="shared" ref="K20:K28" si="11">SUM(C20,E20,G20,I20)</f>
        <v>4</v>
      </c>
      <c r="L20" s="239">
        <f t="shared" ref="L20:L28" si="12">IFERROR(K20/$K$29,"-")</f>
        <v>6.3593004769475362E-3</v>
      </c>
      <c r="O20" s="53" t="s">
        <v>2</v>
      </c>
      <c r="P20" s="65">
        <v>0</v>
      </c>
      <c r="Q20" s="65">
        <v>0</v>
      </c>
      <c r="R20" s="65">
        <v>3</v>
      </c>
      <c r="S20" s="65">
        <v>0</v>
      </c>
      <c r="T20" s="65">
        <v>0</v>
      </c>
      <c r="U20" s="65">
        <v>1</v>
      </c>
      <c r="V20" s="65">
        <v>0</v>
      </c>
      <c r="W20" s="65">
        <v>0</v>
      </c>
      <c r="X20" s="65">
        <v>0</v>
      </c>
      <c r="Y20" s="65">
        <v>0</v>
      </c>
      <c r="Z20" s="65">
        <v>0</v>
      </c>
      <c r="AA20" s="65">
        <v>0</v>
      </c>
      <c r="AB20" s="65">
        <v>0</v>
      </c>
      <c r="AC20" s="65">
        <v>0</v>
      </c>
      <c r="AD20" s="65">
        <v>0</v>
      </c>
      <c r="AE20" s="65">
        <v>0</v>
      </c>
      <c r="AH20" s="53" t="s">
        <v>2</v>
      </c>
    </row>
    <row r="21" spans="2:38" s="21" customFormat="1" ht="18.75" customHeight="1" x14ac:dyDescent="0.15">
      <c r="B21" s="227" t="s">
        <v>3</v>
      </c>
      <c r="C21" s="228">
        <f>IFERROR(INDEX(年齢階層×在院期間区分F2＿寛解・院内寛解[#All],MATCH($AH5,年齢階層×在院期間区分F2＿寛解・院内寛解[[#All],[行ラベル]],0),MATCH($AI$3,年齢階層×在院期間区分F2＿寛解・院内寛解[#Headers],0)),0)+IFERROR(INDEX(年齢階層×在院期間区分F2＿寛解・院内寛解[#All],MATCH($AH5,年齢階層×在院期間区分F2＿寛解・院内寛解[[#All],[行ラベル]],0),MATCH($AJ$3,年齢階層×在院期間区分F2＿寛解・院内寛解[#Headers],0)),0)+IFERROR(INDEX(年齢階層×在院期間区分F2＿寛解・院内寛解[#All],MATCH($AH5,年齢階層×在院期間区分F2＿寛解・院内寛解[[#All],[行ラベル]],0),MATCH($AK$3,年齢階層×在院期間区分F2＿寛解・院内寛解[#Headers],0)),0)+IFERROR(INDEX(年齢階層×在院期間区分F2＿寛解・院内寛解[#All],MATCH($AH5,年齢階層×在院期間区分F2＿寛解・院内寛解[[#All],[行ラベル]],0),MATCH($AL$3,年齢階層×在院期間区分F2＿寛解・院内寛解[#Headers],0)),0)</f>
        <v>7</v>
      </c>
      <c r="D21" s="206">
        <f t="shared" si="7"/>
        <v>2.1874999999999999E-2</v>
      </c>
      <c r="E21" s="228">
        <f>IFERROR(INDEX(年齢階層×在院期間区分F2＿寛解・院内寛解[#All],MATCH($AH5,年齢階層×在院期間区分F2＿寛解・院内寛解[[#All],[行ラベル]],0),MATCH($AM$3,年齢階層×在院期間区分F2＿寛解・院内寛解[#Headers],0)),0)+IFERROR(INDEX(年齢階層×在院期間区分F2＿寛解・院内寛解[#All],MATCH($AH5,年齢階層×在院期間区分F2＿寛解・院内寛解[[#All],[行ラベル]],0),MATCH($AN$3,年齢階層×在院期間区分F2＿寛解・院内寛解[#Headers],0)),0)+IFERROR(INDEX(年齢階層×在院期間区分F2＿寛解・院内寛解[#All],MATCH($AH5,年齢階層×在院期間区分F2＿寛解・院内寛解[[#All],[行ラベル]],0),MATCH($AO$3,年齢階層×在院期間区分F2＿寛解・院内寛解[#Headers],0)),0)+IFERROR(INDEX(年齢階層×在院期間区分F2＿寛解・院内寛解[#All],MATCH($AH5,年齢階層×在院期間区分F2＿寛解・院内寛解[[#All],[行ラベル]],0),MATCH($AP$3,年齢階層×在院期間区分F2＿寛解・院内寛解[#Headers],0)),0)+IFERROR(INDEX(年齢階層×在院期間区分F2＿寛解・院内寛解[#All],MATCH($AH5,年齢階層×在院期間区分F2＿寛解・院内寛解[[#All],[行ラベル]],0),MATCH($AQ$3,年齢階層×在院期間区分F2＿寛解・院内寛解[#Headers],0)),0)</f>
        <v>2</v>
      </c>
      <c r="F21" s="206">
        <f t="shared" si="8"/>
        <v>1.2345679012345678E-2</v>
      </c>
      <c r="G21" s="205">
        <f>IFERROR(INDEX(年齢階層×在院期間区分F2＿寛解・院内寛解[#All],MATCH($AH5,年齢階層×在院期間区分F2＿寛解・院内寛解[[#All],[行ラベル]],0),MATCH($AR$3,年齢階層×在院期間区分F2＿寛解・院内寛解[#Headers],0)),0)+IFERROR(INDEX(年齢階層×在院期間区分F2＿寛解・院内寛解[#All],MATCH($AH5,年齢階層×在院期間区分F2＿寛解・院内寛解[[#All],[行ラベル]],0),MATCH($AS$3,年齢階層×在院期間区分F2＿寛解・院内寛解[#Headers],0)),0)+IFERROR(INDEX(年齢階層×在院期間区分F2＿寛解・院内寛解[#All],MATCH($AH5,年齢階層×在院期間区分F2＿寛解・院内寛解[[#All],[行ラベル]],0),MATCH($AT$3,年齢階層×在院期間区分F2＿寛解・院内寛解[#Headers],0)),0)+IFERROR(INDEX(年齢階層×在院期間区分F2＿寛解・院内寛解[#All],MATCH($AH5,年齢階層×在院期間区分F2＿寛解・院内寛解[[#All],[行ラベル]],0),MATCH($AU$3,年齢階層×在院期間区分F2＿寛解・院内寛解[#Headers],0)),0)+IFERROR(INDEX(年齢階層×在院期間区分F2＿寛解・院内寛解[#All],MATCH($AH5,年齢階層×在院期間区分F2＿寛解・院内寛解[[#All],[行ラベル]],0),MATCH($AV$3,年齢階層×在院期間区分F2＿寛解・院内寛解[#Headers],0)),0)</f>
        <v>0</v>
      </c>
      <c r="H21" s="206">
        <f t="shared" si="9"/>
        <v>0</v>
      </c>
      <c r="I21" s="228">
        <f>IFERROR(INDEX(年齢階層×在院期間区分F2＿寛解・院内寛解[#All],MATCH($AH5,年齢階層×在院期間区分F2＿寛解・院内寛解[[#All],[行ラベル]],0),MATCH($AW$3,年齢階層×在院期間区分F2＿寛解・院内寛解[#Headers],0)),0)+IFERROR(INDEX(年齢階層×在院期間区分F2＿寛解・院内寛解[#All],MATCH($AH5,年齢階層×在院期間区分F2＿寛解・院内寛解[[#All],[行ラベル]],0),MATCH($AX$3,年齢階層×在院期間区分F2＿寛解・院内寛解[#Headers],0)),0)</f>
        <v>0</v>
      </c>
      <c r="J21" s="206">
        <f t="shared" si="10"/>
        <v>0</v>
      </c>
      <c r="K21" s="205">
        <f t="shared" si="11"/>
        <v>9</v>
      </c>
      <c r="L21" s="206">
        <f t="shared" si="12"/>
        <v>1.4308426073131956E-2</v>
      </c>
      <c r="O21" s="53" t="s">
        <v>3</v>
      </c>
      <c r="P21" s="65">
        <v>4</v>
      </c>
      <c r="Q21" s="65">
        <v>1</v>
      </c>
      <c r="R21" s="65">
        <v>1</v>
      </c>
      <c r="S21" s="65">
        <v>1</v>
      </c>
      <c r="T21" s="65">
        <v>2</v>
      </c>
      <c r="U21" s="65">
        <v>0</v>
      </c>
      <c r="V21" s="65">
        <v>0</v>
      </c>
      <c r="W21" s="65">
        <v>0</v>
      </c>
      <c r="X21" s="65">
        <v>0</v>
      </c>
      <c r="Y21" s="65">
        <v>0</v>
      </c>
      <c r="Z21" s="65">
        <v>0</v>
      </c>
      <c r="AA21" s="65">
        <v>0</v>
      </c>
      <c r="AB21" s="65">
        <v>0</v>
      </c>
      <c r="AC21" s="65">
        <v>0</v>
      </c>
      <c r="AD21" s="65">
        <v>0</v>
      </c>
      <c r="AE21" s="65">
        <v>0</v>
      </c>
      <c r="AH21" s="53" t="s">
        <v>3</v>
      </c>
    </row>
    <row r="22" spans="2:38" s="21" customFormat="1" ht="18.75" customHeight="1" x14ac:dyDescent="0.15">
      <c r="B22" s="227" t="s">
        <v>4</v>
      </c>
      <c r="C22" s="205">
        <f>IFERROR(INDEX(年齢階層×在院期間区分F2＿寛解・院内寛解[#All],MATCH($AH6,年齢階層×在院期間区分F2＿寛解・院内寛解[[#All],[行ラベル]],0),MATCH($AI$3,年齢階層×在院期間区分F2＿寛解・院内寛解[#Headers],0)),0)+IFERROR(INDEX(年齢階層×在院期間区分F2＿寛解・院内寛解[#All],MATCH($AH6,年齢階層×在院期間区分F2＿寛解・院内寛解[[#All],[行ラベル]],0),MATCH($AJ$3,年齢階層×在院期間区分F2＿寛解・院内寛解[#Headers],0)),0)+IFERROR(INDEX(年齢階層×在院期間区分F2＿寛解・院内寛解[#All],MATCH($AH6,年齢階層×在院期間区分F2＿寛解・院内寛解[[#All],[行ラベル]],0),MATCH($AK$3,年齢階層×在院期間区分F2＿寛解・院内寛解[#Headers],0)),0)+IFERROR(INDEX(年齢階層×在院期間区分F2＿寛解・院内寛解[#All],MATCH($AH6,年齢階層×在院期間区分F2＿寛解・院内寛解[[#All],[行ラベル]],0),MATCH($AL$3,年齢階層×在院期間区分F2＿寛解・院内寛解[#Headers],0)),0)</f>
        <v>35</v>
      </c>
      <c r="D22" s="206">
        <f t="shared" si="7"/>
        <v>0.109375</v>
      </c>
      <c r="E22" s="228">
        <f>IFERROR(INDEX(年齢階層×在院期間区分F2＿寛解・院内寛解[#All],MATCH($AH6,年齢階層×在院期間区分F2＿寛解・院内寛解[[#All],[行ラベル]],0),MATCH($AM$3,年齢階層×在院期間区分F2＿寛解・院内寛解[#Headers],0)),0)+IFERROR(INDEX(年齢階層×在院期間区分F2＿寛解・院内寛解[#All],MATCH($AH6,年齢階層×在院期間区分F2＿寛解・院内寛解[[#All],[行ラベル]],0),MATCH($AN$3,年齢階層×在院期間区分F2＿寛解・院内寛解[#Headers],0)),0)+IFERROR(INDEX(年齢階層×在院期間区分F2＿寛解・院内寛解[#All],MATCH($AH6,年齢階層×在院期間区分F2＿寛解・院内寛解[[#All],[行ラベル]],0),MATCH($AO$3,年齢階層×在院期間区分F2＿寛解・院内寛解[#Headers],0)),0)+IFERROR(INDEX(年齢階層×在院期間区分F2＿寛解・院内寛解[#All],MATCH($AH6,年齢階層×在院期間区分F2＿寛解・院内寛解[[#All],[行ラベル]],0),MATCH($AP$3,年齢階層×在院期間区分F2＿寛解・院内寛解[#Headers],0)),0)+IFERROR(INDEX(年齢階層×在院期間区分F2＿寛解・院内寛解[#All],MATCH($AH6,年齢階層×在院期間区分F2＿寛解・院内寛解[[#All],[行ラベル]],0),MATCH($AQ$3,年齢階層×在院期間区分F2＿寛解・院内寛解[#Headers],0)),0)</f>
        <v>9</v>
      </c>
      <c r="F22" s="206">
        <f t="shared" si="8"/>
        <v>5.5555555555555552E-2</v>
      </c>
      <c r="G22" s="229">
        <f>IFERROR(INDEX(年齢階層×在院期間区分F2＿寛解・院内寛解[#All],MATCH($AH6,年齢階層×在院期間区分F2＿寛解・院内寛解[[#All],[行ラベル]],0),MATCH($AR$3,年齢階層×在院期間区分F2＿寛解・院内寛解[#Headers],0)),0)+IFERROR(INDEX(年齢階層×在院期間区分F2＿寛解・院内寛解[#All],MATCH($AH6,年齢階層×在院期間区分F2＿寛解・院内寛解[[#All],[行ラベル]],0),MATCH($AS$3,年齢階層×在院期間区分F2＿寛解・院内寛解[#Headers],0)),0)+IFERROR(INDEX(年齢階層×在院期間区分F2＿寛解・院内寛解[#All],MATCH($AH6,年齢階層×在院期間区分F2＿寛解・院内寛解[[#All],[行ラベル]],0),MATCH($AT$3,年齢階層×在院期間区分F2＿寛解・院内寛解[#Headers],0)),0)+IFERROR(INDEX(年齢階層×在院期間区分F2＿寛解・院内寛解[#All],MATCH($AH6,年齢階層×在院期間区分F2＿寛解・院内寛解[[#All],[行ラベル]],0),MATCH($AU$3,年齢階層×在院期間区分F2＿寛解・院内寛解[#Headers],0)),0)+IFERROR(INDEX(年齢階層×在院期間区分F2＿寛解・院内寛解[#All],MATCH($AH6,年齢階層×在院期間区分F2＿寛解・院内寛解[[#All],[行ラベル]],0),MATCH($AV$3,年齢階層×在院期間区分F2＿寛解・院内寛解[#Headers],0)),0)</f>
        <v>2</v>
      </c>
      <c r="H22" s="206">
        <f t="shared" si="9"/>
        <v>3.2786885245901641E-2</v>
      </c>
      <c r="I22" s="205">
        <f>IFERROR(INDEX(年齢階層×在院期間区分F2＿寛解・院内寛解[#All],MATCH($AH6,年齢階層×在院期間区分F2＿寛解・院内寛解[[#All],[行ラベル]],0),MATCH($AW$3,年齢階層×在院期間区分F2＿寛解・院内寛解[#Headers],0)),0)+IFERROR(INDEX(年齢階層×在院期間区分F2＿寛解・院内寛解[#All],MATCH($AH6,年齢階層×在院期間区分F2＿寛解・院内寛解[[#All],[行ラベル]],0),MATCH($AX$3,年齢階層×在院期間区分F2＿寛解・院内寛解[#Headers],0)),0)</f>
        <v>1</v>
      </c>
      <c r="J22" s="206">
        <f t="shared" si="10"/>
        <v>1.1627906976744186E-2</v>
      </c>
      <c r="K22" s="205">
        <f t="shared" si="11"/>
        <v>47</v>
      </c>
      <c r="L22" s="206">
        <f t="shared" si="12"/>
        <v>7.472178060413355E-2</v>
      </c>
      <c r="O22" s="53" t="s">
        <v>4</v>
      </c>
      <c r="P22" s="65">
        <v>11</v>
      </c>
      <c r="Q22" s="65">
        <v>12</v>
      </c>
      <c r="R22" s="65">
        <v>8</v>
      </c>
      <c r="S22" s="65">
        <v>4</v>
      </c>
      <c r="T22" s="65">
        <v>1</v>
      </c>
      <c r="U22" s="65">
        <v>2</v>
      </c>
      <c r="V22" s="65">
        <v>4</v>
      </c>
      <c r="W22" s="65">
        <v>0</v>
      </c>
      <c r="X22" s="65">
        <v>2</v>
      </c>
      <c r="Y22" s="65">
        <v>0</v>
      </c>
      <c r="Z22" s="65">
        <v>1</v>
      </c>
      <c r="AA22" s="65">
        <v>1</v>
      </c>
      <c r="AB22" s="65">
        <v>0</v>
      </c>
      <c r="AC22" s="65">
        <v>0</v>
      </c>
      <c r="AD22" s="65">
        <v>1</v>
      </c>
      <c r="AE22" s="65">
        <v>0</v>
      </c>
      <c r="AH22" s="53" t="s">
        <v>4</v>
      </c>
    </row>
    <row r="23" spans="2:38" s="21" customFormat="1" ht="18.75" customHeight="1" x14ac:dyDescent="0.15">
      <c r="B23" s="227" t="s">
        <v>5</v>
      </c>
      <c r="C23" s="205">
        <f>IFERROR(INDEX(年齢階層×在院期間区分F2＿寛解・院内寛解[#All],MATCH($AH7,年齢階層×在院期間区分F2＿寛解・院内寛解[[#All],[行ラベル]],0),MATCH($AI$3,年齢階層×在院期間区分F2＿寛解・院内寛解[#Headers],0)),0)+IFERROR(INDEX(年齢階層×在院期間区分F2＿寛解・院内寛解[#All],MATCH($AH7,年齢階層×在院期間区分F2＿寛解・院内寛解[[#All],[行ラベル]],0),MATCH($AJ$3,年齢階層×在院期間区分F2＿寛解・院内寛解[#Headers],0)),0)+IFERROR(INDEX(年齢階層×在院期間区分F2＿寛解・院内寛解[#All],MATCH($AH7,年齢階層×在院期間区分F2＿寛解・院内寛解[[#All],[行ラベル]],0),MATCH($AK$3,年齢階層×在院期間区分F2＿寛解・院内寛解[#Headers],0)),0)+IFERROR(INDEX(年齢階層×在院期間区分F2＿寛解・院内寛解[#All],MATCH($AH7,年齢階層×在院期間区分F2＿寛解・院内寛解[[#All],[行ラベル]],0),MATCH($AL$3,年齢階層×在院期間区分F2＿寛解・院内寛解[#Headers],0)),0)</f>
        <v>59</v>
      </c>
      <c r="D23" s="206">
        <f t="shared" si="7"/>
        <v>0.18437500000000001</v>
      </c>
      <c r="E23" s="205">
        <f>IFERROR(INDEX(年齢階層×在院期間区分F2＿寛解・院内寛解[#All],MATCH($AH7,年齢階層×在院期間区分F2＿寛解・院内寛解[[#All],[行ラベル]],0),MATCH($AM$3,年齢階層×在院期間区分F2＿寛解・院内寛解[#Headers],0)),0)+IFERROR(INDEX(年齢階層×在院期間区分F2＿寛解・院内寛解[#All],MATCH($AH7,年齢階層×在院期間区分F2＿寛解・院内寛解[[#All],[行ラベル]],0),MATCH($AN$3,年齢階層×在院期間区分F2＿寛解・院内寛解[#Headers],0)),0)+IFERROR(INDEX(年齢階層×在院期間区分F2＿寛解・院内寛解[#All],MATCH($AH7,年齢階層×在院期間区分F2＿寛解・院内寛解[[#All],[行ラベル]],0),MATCH($AO$3,年齢階層×在院期間区分F2＿寛解・院内寛解[#Headers],0)),0)+IFERROR(INDEX(年齢階層×在院期間区分F2＿寛解・院内寛解[#All],MATCH($AH7,年齢階層×在院期間区分F2＿寛解・院内寛解[[#All],[行ラベル]],0),MATCH($AP$3,年齢階層×在院期間区分F2＿寛解・院内寛解[#Headers],0)),0)+IFERROR(INDEX(年齢階層×在院期間区分F2＿寛解・院内寛解[#All],MATCH($AH7,年齢階層×在院期間区分F2＿寛解・院内寛解[[#All],[行ラベル]],0),MATCH($AQ$3,年齢階層×在院期間区分F2＿寛解・院内寛解[#Headers],0)),0)</f>
        <v>22</v>
      </c>
      <c r="F23" s="206">
        <f t="shared" si="8"/>
        <v>0.13580246913580246</v>
      </c>
      <c r="G23" s="205">
        <f>IFERROR(INDEX(年齢階層×在院期間区分F2＿寛解・院内寛解[#All],MATCH($AH7,年齢階層×在院期間区分F2＿寛解・院内寛解[[#All],[行ラベル]],0),MATCH($AR$3,年齢階層×在院期間区分F2＿寛解・院内寛解[#Headers],0)),0)+IFERROR(INDEX(年齢階層×在院期間区分F2＿寛解・院内寛解[#All],MATCH($AH7,年齢階層×在院期間区分F2＿寛解・院内寛解[[#All],[行ラベル]],0),MATCH($AS$3,年齢階層×在院期間区分F2＿寛解・院内寛解[#Headers],0)),0)+IFERROR(INDEX(年齢階層×在院期間区分F2＿寛解・院内寛解[#All],MATCH($AH7,年齢階層×在院期間区分F2＿寛解・院内寛解[[#All],[行ラベル]],0),MATCH($AT$3,年齢階層×在院期間区分F2＿寛解・院内寛解[#Headers],0)),0)+IFERROR(INDEX(年齢階層×在院期間区分F2＿寛解・院内寛解[#All],MATCH($AH7,年齢階層×在院期間区分F2＿寛解・院内寛解[[#All],[行ラベル]],0),MATCH($AU$3,年齢階層×在院期間区分F2＿寛解・院内寛解[#Headers],0)),0)+IFERROR(INDEX(年齢階層×在院期間区分F2＿寛解・院内寛解[#All],MATCH($AH7,年齢階層×在院期間区分F2＿寛解・院内寛解[[#All],[行ラベル]],0),MATCH($AV$3,年齢階層×在院期間区分F2＿寛解・院内寛解[#Headers],0)),0)</f>
        <v>11</v>
      </c>
      <c r="H23" s="206">
        <f t="shared" si="9"/>
        <v>0.18032786885245902</v>
      </c>
      <c r="I23" s="205">
        <f>IFERROR(INDEX(年齢階層×在院期間区分F2＿寛解・院内寛解[#All],MATCH($AH7,年齢階層×在院期間区分F2＿寛解・院内寛解[[#All],[行ラベル]],0),MATCH($AW$3,年齢階層×在院期間区分F2＿寛解・院内寛解[#Headers],0)),0)+IFERROR(INDEX(年齢階層×在院期間区分F2＿寛解・院内寛解[#All],MATCH($AH7,年齢階層×在院期間区分F2＿寛解・院内寛解[[#All],[行ラベル]],0),MATCH($AX$3,年齢階層×在院期間区分F2＿寛解・院内寛解[#Headers],0)),0)</f>
        <v>7</v>
      </c>
      <c r="J23" s="206">
        <f t="shared" si="10"/>
        <v>8.1395348837209308E-2</v>
      </c>
      <c r="K23" s="205">
        <f t="shared" si="11"/>
        <v>99</v>
      </c>
      <c r="L23" s="206">
        <f t="shared" si="12"/>
        <v>0.15739268680445151</v>
      </c>
      <c r="O23" s="53" t="s">
        <v>5</v>
      </c>
      <c r="P23" s="65">
        <v>18</v>
      </c>
      <c r="Q23" s="65">
        <v>26</v>
      </c>
      <c r="R23" s="65">
        <v>12</v>
      </c>
      <c r="S23" s="65">
        <v>3</v>
      </c>
      <c r="T23" s="65">
        <v>4</v>
      </c>
      <c r="U23" s="65">
        <v>3</v>
      </c>
      <c r="V23" s="65">
        <v>4</v>
      </c>
      <c r="W23" s="65">
        <v>6</v>
      </c>
      <c r="X23" s="65">
        <v>5</v>
      </c>
      <c r="Y23" s="65">
        <v>4</v>
      </c>
      <c r="Z23" s="65">
        <v>2</v>
      </c>
      <c r="AA23" s="65">
        <v>4</v>
      </c>
      <c r="AB23" s="65">
        <v>1</v>
      </c>
      <c r="AC23" s="65">
        <v>0</v>
      </c>
      <c r="AD23" s="65">
        <v>6</v>
      </c>
      <c r="AE23" s="65">
        <v>1</v>
      </c>
      <c r="AH23" s="53" t="s">
        <v>5</v>
      </c>
    </row>
    <row r="24" spans="2:38" s="21" customFormat="1" ht="18.75" customHeight="1" x14ac:dyDescent="0.15">
      <c r="B24" s="227" t="s">
        <v>6</v>
      </c>
      <c r="C24" s="229">
        <f>IFERROR(INDEX(年齢階層×在院期間区分F2＿寛解・院内寛解[#All],MATCH($AH8,年齢階層×在院期間区分F2＿寛解・院内寛解[[#All],[行ラベル]],0),MATCH($AI$3,年齢階層×在院期間区分F2＿寛解・院内寛解[#Headers],0)),0)+IFERROR(INDEX(年齢階層×在院期間区分F2＿寛解・院内寛解[#All],MATCH($AH8,年齢階層×在院期間区分F2＿寛解・院内寛解[[#All],[行ラベル]],0),MATCH($AJ$3,年齢階層×在院期間区分F2＿寛解・院内寛解[#Headers],0)),0)+IFERROR(INDEX(年齢階層×在院期間区分F2＿寛解・院内寛解[#All],MATCH($AH8,年齢階層×在院期間区分F2＿寛解・院内寛解[[#All],[行ラベル]],0),MATCH($AK$3,年齢階層×在院期間区分F2＿寛解・院内寛解[#Headers],0)),0)+IFERROR(INDEX(年齢階層×在院期間区分F2＿寛解・院内寛解[#All],MATCH($AH8,年齢階層×在院期間区分F2＿寛解・院内寛解[[#All],[行ラベル]],0),MATCH($AL$3,年齢階層×在院期間区分F2＿寛解・院内寛解[#Headers],0)),0)</f>
        <v>88</v>
      </c>
      <c r="D24" s="206">
        <f t="shared" si="7"/>
        <v>0.27500000000000002</v>
      </c>
      <c r="E24" s="205">
        <f>IFERROR(INDEX(年齢階層×在院期間区分F2＿寛解・院内寛解[#All],MATCH($AH8,年齢階層×在院期間区分F2＿寛解・院内寛解[[#All],[行ラベル]],0),MATCH($AM$3,年齢階層×在院期間区分F2＿寛解・院内寛解[#Headers],0)),0)+IFERROR(INDEX(年齢階層×在院期間区分F2＿寛解・院内寛解[#All],MATCH($AH8,年齢階層×在院期間区分F2＿寛解・院内寛解[[#All],[行ラベル]],0),MATCH($AN$3,年齢階層×在院期間区分F2＿寛解・院内寛解[#Headers],0)),0)+IFERROR(INDEX(年齢階層×在院期間区分F2＿寛解・院内寛解[#All],MATCH($AH8,年齢階層×在院期間区分F2＿寛解・院内寛解[[#All],[行ラベル]],0),MATCH($AO$3,年齢階層×在院期間区分F2＿寛解・院内寛解[#Headers],0)),0)+IFERROR(INDEX(年齢階層×在院期間区分F2＿寛解・院内寛解[#All],MATCH($AH8,年齢階層×在院期間区分F2＿寛解・院内寛解[[#All],[行ラベル]],0),MATCH($AP$3,年齢階層×在院期間区分F2＿寛解・院内寛解[#Headers],0)),0)+IFERROR(INDEX(年齢階層×在院期間区分F2＿寛解・院内寛解[#All],MATCH($AH8,年齢階層×在院期間区分F2＿寛解・院内寛解[[#All],[行ラベル]],0),MATCH($AQ$3,年齢階層×在院期間区分F2＿寛解・院内寛解[#Headers],0)),0)</f>
        <v>32</v>
      </c>
      <c r="F24" s="206">
        <f t="shared" si="8"/>
        <v>0.19753086419753085</v>
      </c>
      <c r="G24" s="229">
        <f>IFERROR(INDEX(年齢階層×在院期間区分F2＿寛解・院内寛解[#All],MATCH($AH8,年齢階層×在院期間区分F2＿寛解・院内寛解[[#All],[行ラベル]],0),MATCH($AR$3,年齢階層×在院期間区分F2＿寛解・院内寛解[#Headers],0)),0)+IFERROR(INDEX(年齢階層×在院期間区分F2＿寛解・院内寛解[#All],MATCH($AH8,年齢階層×在院期間区分F2＿寛解・院内寛解[[#All],[行ラベル]],0),MATCH($AS$3,年齢階層×在院期間区分F2＿寛解・院内寛解[#Headers],0)),0)+IFERROR(INDEX(年齢階層×在院期間区分F2＿寛解・院内寛解[#All],MATCH($AH8,年齢階層×在院期間区分F2＿寛解・院内寛解[[#All],[行ラベル]],0),MATCH($AT$3,年齢階層×在院期間区分F2＿寛解・院内寛解[#Headers],0)),0)+IFERROR(INDEX(年齢階層×在院期間区分F2＿寛解・院内寛解[#All],MATCH($AH8,年齢階層×在院期間区分F2＿寛解・院内寛解[[#All],[行ラベル]],0),MATCH($AU$3,年齢階層×在院期間区分F2＿寛解・院内寛解[#Headers],0)),0)+IFERROR(INDEX(年齢階層×在院期間区分F2＿寛解・院内寛解[#All],MATCH($AH8,年齢階層×在院期間区分F2＿寛解・院内寛解[[#All],[行ラベル]],0),MATCH($AV$3,年齢階層×在院期間区分F2＿寛解・院内寛解[#Headers],0)),0)</f>
        <v>21</v>
      </c>
      <c r="H24" s="206">
        <f t="shared" si="9"/>
        <v>0.34426229508196721</v>
      </c>
      <c r="I24" s="205">
        <f>IFERROR(INDEX(年齢階層×在院期間区分F2＿寛解・院内寛解[#All],MATCH($AH8,年齢階層×在院期間区分F2＿寛解・院内寛解[[#All],[行ラベル]],0),MATCH($AW$3,年齢階層×在院期間区分F2＿寛解・院内寛解[#Headers],0)),0)+IFERROR(INDEX(年齢階層×在院期間区分F2＿寛解・院内寛解[#All],MATCH($AH8,年齢階層×在院期間区分F2＿寛解・院内寛解[[#All],[行ラベル]],0),MATCH($AX$3,年齢階層×在院期間区分F2＿寛解・院内寛解[#Headers],0)),0)</f>
        <v>16</v>
      </c>
      <c r="J24" s="206">
        <f t="shared" si="10"/>
        <v>0.18604651162790697</v>
      </c>
      <c r="K24" s="205">
        <f t="shared" si="11"/>
        <v>157</v>
      </c>
      <c r="L24" s="206">
        <f t="shared" si="12"/>
        <v>0.24960254372019078</v>
      </c>
      <c r="O24" s="53" t="s">
        <v>6</v>
      </c>
      <c r="P24" s="65">
        <v>29</v>
      </c>
      <c r="Q24" s="65">
        <v>35</v>
      </c>
      <c r="R24" s="65">
        <v>15</v>
      </c>
      <c r="S24" s="65">
        <v>9</v>
      </c>
      <c r="T24" s="65">
        <v>4</v>
      </c>
      <c r="U24" s="65">
        <v>3</v>
      </c>
      <c r="V24" s="65">
        <v>9</v>
      </c>
      <c r="W24" s="65">
        <v>10</v>
      </c>
      <c r="X24" s="65">
        <v>6</v>
      </c>
      <c r="Y24" s="65">
        <v>7</v>
      </c>
      <c r="Z24" s="65">
        <v>6</v>
      </c>
      <c r="AA24" s="65">
        <v>3</v>
      </c>
      <c r="AB24" s="65">
        <v>2</v>
      </c>
      <c r="AC24" s="65">
        <v>3</v>
      </c>
      <c r="AD24" s="65">
        <v>12</v>
      </c>
      <c r="AE24" s="65">
        <v>4</v>
      </c>
      <c r="AH24" s="53" t="s">
        <v>6</v>
      </c>
    </row>
    <row r="25" spans="2:38" s="21" customFormat="1" ht="18.75" customHeight="1" x14ac:dyDescent="0.15">
      <c r="B25" s="227" t="s">
        <v>7</v>
      </c>
      <c r="C25" s="228">
        <f>IFERROR(INDEX(年齢階層×在院期間区分F2＿寛解・院内寛解[#All],MATCH($AH9,年齢階層×在院期間区分F2＿寛解・院内寛解[[#All],[行ラベル]],0),MATCH($AI$3,年齢階層×在院期間区分F2＿寛解・院内寛解[#Headers],0)),0)+IFERROR(INDEX(年齢階層×在院期間区分F2＿寛解・院内寛解[#All],MATCH($AH9,年齢階層×在院期間区分F2＿寛解・院内寛解[[#All],[行ラベル]],0),MATCH($AJ$3,年齢階層×在院期間区分F2＿寛解・院内寛解[#Headers],0)),0)+IFERROR(INDEX(年齢階層×在院期間区分F2＿寛解・院内寛解[#All],MATCH($AH9,年齢階層×在院期間区分F2＿寛解・院内寛解[[#All],[行ラベル]],0),MATCH($AK$3,年齢階層×在院期間区分F2＿寛解・院内寛解[#Headers],0)),0)+IFERROR(INDEX(年齢階層×在院期間区分F2＿寛解・院内寛解[#All],MATCH($AH9,年齢階層×在院期間区分F2＿寛解・院内寛解[[#All],[行ラベル]],0),MATCH($AL$3,年齢階層×在院期間区分F2＿寛解・院内寛解[#Headers],0)),0)</f>
        <v>47</v>
      </c>
      <c r="D25" s="206">
        <f t="shared" si="7"/>
        <v>0.14687500000000001</v>
      </c>
      <c r="E25" s="205">
        <f>IFERROR(INDEX(年齢階層×在院期間区分F2＿寛解・院内寛解[#All],MATCH($AH9,年齢階層×在院期間区分F2＿寛解・院内寛解[[#All],[行ラベル]],0),MATCH($AM$3,年齢階層×在院期間区分F2＿寛解・院内寛解[#Headers],0)),0)+IFERROR(INDEX(年齢階層×在院期間区分F2＿寛解・院内寛解[#All],MATCH($AH9,年齢階層×在院期間区分F2＿寛解・院内寛解[[#All],[行ラベル]],0),MATCH($AN$3,年齢階層×在院期間区分F2＿寛解・院内寛解[#Headers],0)),0)+IFERROR(INDEX(年齢階層×在院期間区分F2＿寛解・院内寛解[#All],MATCH($AH9,年齢階層×在院期間区分F2＿寛解・院内寛解[[#All],[行ラベル]],0),MATCH($AO$3,年齢階層×在院期間区分F2＿寛解・院内寛解[#Headers],0)),0)+IFERROR(INDEX(年齢階層×在院期間区分F2＿寛解・院内寛解[#All],MATCH($AH9,年齢階層×在院期間区分F2＿寛解・院内寛解[[#All],[行ラベル]],0),MATCH($AP$3,年齢階層×在院期間区分F2＿寛解・院内寛解[#Headers],0)),0)+IFERROR(INDEX(年齢階層×在院期間区分F2＿寛解・院内寛解[#All],MATCH($AH9,年齢階層×在院期間区分F2＿寛解・院内寛解[[#All],[行ラベル]],0),MATCH($AQ$3,年齢階層×在院期間区分F2＿寛解・院内寛解[#Headers],0)),0)</f>
        <v>39</v>
      </c>
      <c r="F25" s="206">
        <f t="shared" si="8"/>
        <v>0.24074074074074073</v>
      </c>
      <c r="G25" s="228">
        <f>IFERROR(INDEX(年齢階層×在院期間区分F2＿寛解・院内寛解[#All],MATCH($AH9,年齢階層×在院期間区分F2＿寛解・院内寛解[[#All],[行ラベル]],0),MATCH($AR$3,年齢階層×在院期間区分F2＿寛解・院内寛解[#Headers],0)),0)+IFERROR(INDEX(年齢階層×在院期間区分F2＿寛解・院内寛解[#All],MATCH($AH9,年齢階層×在院期間区分F2＿寛解・院内寛解[[#All],[行ラベル]],0),MATCH($AS$3,年齢階層×在院期間区分F2＿寛解・院内寛解[#Headers],0)),0)+IFERROR(INDEX(年齢階層×在院期間区分F2＿寛解・院内寛解[#All],MATCH($AH9,年齢階層×在院期間区分F2＿寛解・院内寛解[[#All],[行ラベル]],0),MATCH($AT$3,年齢階層×在院期間区分F2＿寛解・院内寛解[#Headers],0)),0)+IFERROR(INDEX(年齢階層×在院期間区分F2＿寛解・院内寛解[#All],MATCH($AH9,年齢階層×在院期間区分F2＿寛解・院内寛解[[#All],[行ラベル]],0),MATCH($AU$3,年齢階層×在院期間区分F2＿寛解・院内寛解[#Headers],0)),0)+IFERROR(INDEX(年齢階層×在院期間区分F2＿寛解・院内寛解[#All],MATCH($AH9,年齢階層×在院期間区分F2＿寛解・院内寛解[[#All],[行ラベル]],0),MATCH($AV$3,年齢階層×在院期間区分F2＿寛解・院内寛解[#Headers],0)),0)</f>
        <v>12</v>
      </c>
      <c r="H25" s="206">
        <f t="shared" si="9"/>
        <v>0.19672131147540983</v>
      </c>
      <c r="I25" s="205">
        <f>IFERROR(INDEX(年齢階層×在院期間区分F2＿寛解・院内寛解[#All],MATCH($AH9,年齢階層×在院期間区分F2＿寛解・院内寛解[[#All],[行ラベル]],0),MATCH($AW$3,年齢階層×在院期間区分F2＿寛解・院内寛解[#Headers],0)),0)+IFERROR(INDEX(年齢階層×在院期間区分F2＿寛解・院内寛解[#All],MATCH($AH9,年齢階層×在院期間区分F2＿寛解・院内寛解[[#All],[行ラベル]],0),MATCH($AX$3,年齢階層×在院期間区分F2＿寛解・院内寛解[#Headers],0)),0)</f>
        <v>21</v>
      </c>
      <c r="J25" s="206">
        <f t="shared" si="10"/>
        <v>0.2441860465116279</v>
      </c>
      <c r="K25" s="205">
        <f t="shared" si="11"/>
        <v>119</v>
      </c>
      <c r="L25" s="206">
        <f t="shared" si="12"/>
        <v>0.1891891891891892</v>
      </c>
      <c r="O25" s="53" t="s">
        <v>7</v>
      </c>
      <c r="P25" s="65">
        <v>11</v>
      </c>
      <c r="Q25" s="65">
        <v>14</v>
      </c>
      <c r="R25" s="65">
        <v>11</v>
      </c>
      <c r="S25" s="65">
        <v>11</v>
      </c>
      <c r="T25" s="65">
        <v>10</v>
      </c>
      <c r="U25" s="65">
        <v>8</v>
      </c>
      <c r="V25" s="65">
        <v>8</v>
      </c>
      <c r="W25" s="65">
        <v>7</v>
      </c>
      <c r="X25" s="65">
        <v>6</v>
      </c>
      <c r="Y25" s="65">
        <v>6</v>
      </c>
      <c r="Z25" s="65">
        <v>1</v>
      </c>
      <c r="AA25" s="65">
        <v>1</v>
      </c>
      <c r="AB25" s="65">
        <v>3</v>
      </c>
      <c r="AC25" s="65">
        <v>1</v>
      </c>
      <c r="AD25" s="65">
        <v>14</v>
      </c>
      <c r="AE25" s="65">
        <v>7</v>
      </c>
      <c r="AH25" s="53" t="s">
        <v>7</v>
      </c>
    </row>
    <row r="26" spans="2:38" s="21" customFormat="1" ht="18.75" customHeight="1" x14ac:dyDescent="0.15">
      <c r="B26" s="227" t="s">
        <v>8</v>
      </c>
      <c r="C26" s="205">
        <f>IFERROR(INDEX(年齢階層×在院期間区分F2＿寛解・院内寛解[#All],MATCH($AH10,年齢階層×在院期間区分F2＿寛解・院内寛解[[#All],[行ラベル]],0),MATCH($AI$3,年齢階層×在院期間区分F2＿寛解・院内寛解[#Headers],0)),0)+IFERROR(INDEX(年齢階層×在院期間区分F2＿寛解・院内寛解[#All],MATCH($AH10,年齢階層×在院期間区分F2＿寛解・院内寛解[[#All],[行ラベル]],0),MATCH($AJ$3,年齢階層×在院期間区分F2＿寛解・院内寛解[#Headers],0)),0)+IFERROR(INDEX(年齢階層×在院期間区分F2＿寛解・院内寛解[#All],MATCH($AH10,年齢階層×在院期間区分F2＿寛解・院内寛解[[#All],[行ラベル]],0),MATCH($AK$3,年齢階層×在院期間区分F2＿寛解・院内寛解[#Headers],0)),0)+IFERROR(INDEX(年齢階層×在院期間区分F2＿寛解・院内寛解[#All],MATCH($AH10,年齢階層×在院期間区分F2＿寛解・院内寛解[[#All],[行ラベル]],0),MATCH($AL$3,年齢階層×在院期間区分F2＿寛解・院内寛解[#Headers],0)),0)</f>
        <v>52</v>
      </c>
      <c r="D26" s="206">
        <f t="shared" si="7"/>
        <v>0.16250000000000001</v>
      </c>
      <c r="E26" s="205">
        <f>IFERROR(INDEX(年齢階層×在院期間区分F2＿寛解・院内寛解[#All],MATCH($AH10,年齢階層×在院期間区分F2＿寛解・院内寛解[[#All],[行ラベル]],0),MATCH($AM$3,年齢階層×在院期間区分F2＿寛解・院内寛解[#Headers],0)),0)+IFERROR(INDEX(年齢階層×在院期間区分F2＿寛解・院内寛解[#All],MATCH($AH10,年齢階層×在院期間区分F2＿寛解・院内寛解[[#All],[行ラベル]],0),MATCH($AN$3,年齢階層×在院期間区分F2＿寛解・院内寛解[#Headers],0)),0)+IFERROR(INDEX(年齢階層×在院期間区分F2＿寛解・院内寛解[#All],MATCH($AH10,年齢階層×在院期間区分F2＿寛解・院内寛解[[#All],[行ラベル]],0),MATCH($AO$3,年齢階層×在院期間区分F2＿寛解・院内寛解[#Headers],0)),0)+IFERROR(INDEX(年齢階層×在院期間区分F2＿寛解・院内寛解[#All],MATCH($AH10,年齢階層×在院期間区分F2＿寛解・院内寛解[[#All],[行ラベル]],0),MATCH($AP$3,年齢階層×在院期間区分F2＿寛解・院内寛解[#Headers],0)),0)+IFERROR(INDEX(年齢階層×在院期間区分F2＿寛解・院内寛解[#All],MATCH($AH10,年齢階層×在院期間区分F2＿寛解・院内寛解[[#All],[行ラベル]],0),MATCH($AQ$3,年齢階層×在院期間区分F2＿寛解・院内寛解[#Headers],0)),0)</f>
        <v>36</v>
      </c>
      <c r="F26" s="206">
        <f t="shared" si="8"/>
        <v>0.22222222222222221</v>
      </c>
      <c r="G26" s="228">
        <f>IFERROR(INDEX(年齢階層×在院期間区分F2＿寛解・院内寛解[#All],MATCH($AH10,年齢階層×在院期間区分F2＿寛解・院内寛解[[#All],[行ラベル]],0),MATCH($AR$3,年齢階層×在院期間区分F2＿寛解・院内寛解[#Headers],0)),0)+IFERROR(INDEX(年齢階層×在院期間区分F2＿寛解・院内寛解[#All],MATCH($AH10,年齢階層×在院期間区分F2＿寛解・院内寛解[[#All],[行ラベル]],0),MATCH($AS$3,年齢階層×在院期間区分F2＿寛解・院内寛解[#Headers],0)),0)+IFERROR(INDEX(年齢階層×在院期間区分F2＿寛解・院内寛解[#All],MATCH($AH10,年齢階層×在院期間区分F2＿寛解・院内寛解[[#All],[行ラベル]],0),MATCH($AT$3,年齢階層×在院期間区分F2＿寛解・院内寛解[#Headers],0)),0)+IFERROR(INDEX(年齢階層×在院期間区分F2＿寛解・院内寛解[#All],MATCH($AH10,年齢階層×在院期間区分F2＿寛解・院内寛解[[#All],[行ラベル]],0),MATCH($AU$3,年齢階層×在院期間区分F2＿寛解・院内寛解[#Headers],0)),0)+IFERROR(INDEX(年齢階層×在院期間区分F2＿寛解・院内寛解[#All],MATCH($AH10,年齢階層×在院期間区分F2＿寛解・院内寛解[[#All],[行ラベル]],0),MATCH($AV$3,年齢階層×在院期間区分F2＿寛解・院内寛解[#Headers],0)),0)</f>
        <v>10</v>
      </c>
      <c r="H26" s="206">
        <f t="shared" si="9"/>
        <v>0.16393442622950818</v>
      </c>
      <c r="I26" s="205">
        <f>IFERROR(INDEX(年齢階層×在院期間区分F2＿寛解・院内寛解[#All],MATCH($AH10,年齢階層×在院期間区分F2＿寛解・院内寛解[[#All],[行ラベル]],0),MATCH($AW$3,年齢階層×在院期間区分F2＿寛解・院内寛解[#Headers],0)),0)+IFERROR(INDEX(年齢階層×在院期間区分F2＿寛解・院内寛解[#All],MATCH($AH10,年齢階層×在院期間区分F2＿寛解・院内寛解[[#All],[行ラベル]],0),MATCH($AX$3,年齢階層×在院期間区分F2＿寛解・院内寛解[#Headers],0)),0)</f>
        <v>30</v>
      </c>
      <c r="J26" s="206">
        <f t="shared" si="10"/>
        <v>0.34883720930232559</v>
      </c>
      <c r="K26" s="205">
        <f t="shared" si="11"/>
        <v>128</v>
      </c>
      <c r="L26" s="206">
        <f t="shared" si="12"/>
        <v>0.20349761526232116</v>
      </c>
      <c r="O26" s="53" t="s">
        <v>8</v>
      </c>
      <c r="P26" s="65">
        <v>9</v>
      </c>
      <c r="Q26" s="65">
        <v>19</v>
      </c>
      <c r="R26" s="65">
        <v>11</v>
      </c>
      <c r="S26" s="65">
        <v>13</v>
      </c>
      <c r="T26" s="65">
        <v>3</v>
      </c>
      <c r="U26" s="65">
        <v>6</v>
      </c>
      <c r="V26" s="65">
        <v>5</v>
      </c>
      <c r="W26" s="65">
        <v>16</v>
      </c>
      <c r="X26" s="65">
        <v>6</v>
      </c>
      <c r="Y26" s="65">
        <v>5</v>
      </c>
      <c r="Z26" s="65">
        <v>1</v>
      </c>
      <c r="AA26" s="65">
        <v>2</v>
      </c>
      <c r="AB26" s="65">
        <v>2</v>
      </c>
      <c r="AC26" s="65">
        <v>0</v>
      </c>
      <c r="AD26" s="65">
        <v>12</v>
      </c>
      <c r="AE26" s="65">
        <v>18</v>
      </c>
      <c r="AH26" s="53" t="s">
        <v>8</v>
      </c>
    </row>
    <row r="27" spans="2:38" s="21" customFormat="1" ht="18.75" customHeight="1" x14ac:dyDescent="0.15">
      <c r="B27" s="227" t="s">
        <v>9</v>
      </c>
      <c r="C27" s="229">
        <f>IFERROR(INDEX(年齢階層×在院期間区分F2＿寛解・院内寛解[#All],MATCH($AH11,年齢階層×在院期間区分F2＿寛解・院内寛解[[#All],[行ラベル]],0),MATCH($AI$3,年齢階層×在院期間区分F2＿寛解・院内寛解[#Headers],0)),0)+IFERROR(INDEX(年齢階層×在院期間区分F2＿寛解・院内寛解[#All],MATCH($AH11,年齢階層×在院期間区分F2＿寛解・院内寛解[[#All],[行ラベル]],0),MATCH($AJ$3,年齢階層×在院期間区分F2＿寛解・院内寛解[#Headers],0)),0)+IFERROR(INDEX(年齢階層×在院期間区分F2＿寛解・院内寛解[#All],MATCH($AH11,年齢階層×在院期間区分F2＿寛解・院内寛解[[#All],[行ラベル]],0),MATCH($AK$3,年齢階層×在院期間区分F2＿寛解・院内寛解[#Headers],0)),0)+IFERROR(INDEX(年齢階層×在院期間区分F2＿寛解・院内寛解[#All],MATCH($AH11,年齢階層×在院期間区分F2＿寛解・院内寛解[[#All],[行ラベル]],0),MATCH($AL$3,年齢階層×在院期間区分F2＿寛解・院内寛解[#Headers],0)),0)</f>
        <v>26</v>
      </c>
      <c r="D27" s="206">
        <f t="shared" si="7"/>
        <v>8.1250000000000003E-2</v>
      </c>
      <c r="E27" s="229">
        <f>IFERROR(INDEX(年齢階層×在院期間区分F2＿寛解・院内寛解[#All],MATCH($AH11,年齢階層×在院期間区分F2＿寛解・院内寛解[[#All],[行ラベル]],0),MATCH($AM$3,年齢階層×在院期間区分F2＿寛解・院内寛解[#Headers],0)),0)+IFERROR(INDEX(年齢階層×在院期間区分F2＿寛解・院内寛解[#All],MATCH($AH11,年齢階層×在院期間区分F2＿寛解・院内寛解[[#All],[行ラベル]],0),MATCH($AN$3,年齢階層×在院期間区分F2＿寛解・院内寛解[#Headers],0)),0)+IFERROR(INDEX(年齢階層×在院期間区分F2＿寛解・院内寛解[#All],MATCH($AH11,年齢階層×在院期間区分F2＿寛解・院内寛解[[#All],[行ラベル]],0),MATCH($AO$3,年齢階層×在院期間区分F2＿寛解・院内寛解[#Headers],0)),0)+IFERROR(INDEX(年齢階層×在院期間区分F2＿寛解・院内寛解[#All],MATCH($AH11,年齢階層×在院期間区分F2＿寛解・院内寛解[[#All],[行ラベル]],0),MATCH($AP$3,年齢階層×在院期間区分F2＿寛解・院内寛解[#Headers],0)),0)+IFERROR(INDEX(年齢階層×在院期間区分F2＿寛解・院内寛解[#All],MATCH($AH11,年齢階層×在院期間区分F2＿寛解・院内寛解[[#All],[行ラベル]],0),MATCH($AQ$3,年齢階層×在院期間区分F2＿寛解・院内寛解[#Headers],0)),0)</f>
        <v>20</v>
      </c>
      <c r="F27" s="206">
        <f t="shared" si="8"/>
        <v>0.12345679012345678</v>
      </c>
      <c r="G27" s="205">
        <f>IFERROR(INDEX(年齢階層×在院期間区分F2＿寛解・院内寛解[#All],MATCH($AH11,年齢階層×在院期間区分F2＿寛解・院内寛解[[#All],[行ラベル]],0),MATCH($AR$3,年齢階層×在院期間区分F2＿寛解・院内寛解[#Headers],0)),0)+IFERROR(INDEX(年齢階層×在院期間区分F2＿寛解・院内寛解[#All],MATCH($AH11,年齢階層×在院期間区分F2＿寛解・院内寛解[[#All],[行ラベル]],0),MATCH($AS$3,年齢階層×在院期間区分F2＿寛解・院内寛解[#Headers],0)),0)+IFERROR(INDEX(年齢階層×在院期間区分F2＿寛解・院内寛解[#All],MATCH($AH11,年齢階層×在院期間区分F2＿寛解・院内寛解[[#All],[行ラベル]],0),MATCH($AT$3,年齢階層×在院期間区分F2＿寛解・院内寛解[#Headers],0)),0)+IFERROR(INDEX(年齢階層×在院期間区分F2＿寛解・院内寛解[#All],MATCH($AH11,年齢階層×在院期間区分F2＿寛解・院内寛解[[#All],[行ラベル]],0),MATCH($AU$3,年齢階層×在院期間区分F2＿寛解・院内寛解[#Headers],0)),0)+IFERROR(INDEX(年齢階層×在院期間区分F2＿寛解・院内寛解[#All],MATCH($AH11,年齢階層×在院期間区分F2＿寛解・院内寛解[[#All],[行ラベル]],0),MATCH($AV$3,年齢階層×在院期間区分F2＿寛解・院内寛解[#Headers],0)),0)</f>
        <v>4</v>
      </c>
      <c r="H27" s="206">
        <f t="shared" si="9"/>
        <v>6.5573770491803282E-2</v>
      </c>
      <c r="I27" s="205">
        <f>IFERROR(INDEX(年齢階層×在院期間区分F2＿寛解・院内寛解[#All],MATCH($AH11,年齢階層×在院期間区分F2＿寛解・院内寛解[[#All],[行ラベル]],0),MATCH($AW$3,年齢階層×在院期間区分F2＿寛解・院内寛解[#Headers],0)),0)+IFERROR(INDEX(年齢階層×在院期間区分F2＿寛解・院内寛解[#All],MATCH($AH11,年齢階層×在院期間区分F2＿寛解・院内寛解[[#All],[行ラベル]],0),MATCH($AX$3,年齢階層×在院期間区分F2＿寛解・院内寛解[#Headers],0)),0)</f>
        <v>10</v>
      </c>
      <c r="J27" s="206">
        <f t="shared" si="10"/>
        <v>0.11627906976744186</v>
      </c>
      <c r="K27" s="205">
        <f t="shared" si="11"/>
        <v>60</v>
      </c>
      <c r="L27" s="206">
        <f t="shared" si="12"/>
        <v>9.5389507154213043E-2</v>
      </c>
      <c r="O27" s="53" t="s">
        <v>9</v>
      </c>
      <c r="P27" s="65">
        <v>7</v>
      </c>
      <c r="Q27" s="65">
        <v>9</v>
      </c>
      <c r="R27" s="65">
        <v>5</v>
      </c>
      <c r="S27" s="65">
        <v>5</v>
      </c>
      <c r="T27" s="65">
        <v>5</v>
      </c>
      <c r="U27" s="65">
        <v>1</v>
      </c>
      <c r="V27" s="65">
        <v>7</v>
      </c>
      <c r="W27" s="65">
        <v>4</v>
      </c>
      <c r="X27" s="65">
        <v>3</v>
      </c>
      <c r="Y27" s="65">
        <v>2</v>
      </c>
      <c r="Z27" s="65">
        <v>1</v>
      </c>
      <c r="AA27" s="65">
        <v>1</v>
      </c>
      <c r="AB27" s="65">
        <v>0</v>
      </c>
      <c r="AC27" s="65">
        <v>0</v>
      </c>
      <c r="AD27" s="65">
        <v>7</v>
      </c>
      <c r="AE27" s="65">
        <v>3</v>
      </c>
      <c r="AH27" s="53" t="s">
        <v>9</v>
      </c>
    </row>
    <row r="28" spans="2:38" s="21" customFormat="1" ht="18.75" customHeight="1" thickBot="1" x14ac:dyDescent="0.2">
      <c r="B28" s="230" t="s">
        <v>10</v>
      </c>
      <c r="C28" s="208">
        <f>IFERROR(INDEX(年齢階層×在院期間区分F2＿寛解・院内寛解[#All],MATCH($AH12,年齢階層×在院期間区分F2＿寛解・院内寛解[[#All],[行ラベル]],0),MATCH($AI$3,年齢階層×在院期間区分F2＿寛解・院内寛解[#Headers],0)),0)+IFERROR(INDEX(年齢階層×在院期間区分F2＿寛解・院内寛解[#All],MATCH($AH12,年齢階層×在院期間区分F2＿寛解・院内寛解[[#All],[行ラベル]],0),MATCH($AJ$3,年齢階層×在院期間区分F2＿寛解・院内寛解[#Headers],0)),0)+IFERROR(INDEX(年齢階層×在院期間区分F2＿寛解・院内寛解[#All],MATCH($AH12,年齢階層×在院期間区分F2＿寛解・院内寛解[[#All],[行ラベル]],0),MATCH($AK$3,年齢階層×在院期間区分F2＿寛解・院内寛解[#Headers],0)),0)+IFERROR(INDEX(年齢階層×在院期間区分F2＿寛解・院内寛解[#All],MATCH($AH12,年齢階層×在院期間区分F2＿寛解・院内寛解[[#All],[行ラベル]],0),MATCH($AL$3,年齢階層×在院期間区分F2＿寛解・院内寛解[#Headers],0)),0)</f>
        <v>3</v>
      </c>
      <c r="D28" s="210">
        <f t="shared" si="7"/>
        <v>9.3749999999999997E-3</v>
      </c>
      <c r="E28" s="208">
        <f>IFERROR(INDEX(年齢階層×在院期間区分F2＿寛解・院内寛解[#All],MATCH($AH12,年齢階層×在院期間区分F2＿寛解・院内寛解[[#All],[行ラベル]],0),MATCH($AM$3,年齢階層×在院期間区分F2＿寛解・院内寛解[#Headers],0)),0)+IFERROR(INDEX(年齢階層×在院期間区分F2＿寛解・院内寛解[#All],MATCH($AH12,年齢階層×在院期間区分F2＿寛解・院内寛解[[#All],[行ラベル]],0),MATCH($AN$3,年齢階層×在院期間区分F2＿寛解・院内寛解[#Headers],0)),0)+IFERROR(INDEX(年齢階層×在院期間区分F2＿寛解・院内寛解[#All],MATCH($AH12,年齢階層×在院期間区分F2＿寛解・院内寛解[[#All],[行ラベル]],0),MATCH($AO$3,年齢階層×在院期間区分F2＿寛解・院内寛解[#Headers],0)),0)+IFERROR(INDEX(年齢階層×在院期間区分F2＿寛解・院内寛解[#All],MATCH($AH12,年齢階層×在院期間区分F2＿寛解・院内寛解[[#All],[行ラベル]],0),MATCH($AP$3,年齢階層×在院期間区分F2＿寛解・院内寛解[#Headers],0)),0)+IFERROR(INDEX(年齢階層×在院期間区分F2＿寛解・院内寛解[#All],MATCH($AH12,年齢階層×在院期間区分F2＿寛解・院内寛解[[#All],[行ラベル]],0),MATCH($AQ$3,年齢階層×在院期間区分F2＿寛解・院内寛解[#Headers],0)),0)</f>
        <v>1</v>
      </c>
      <c r="F28" s="210">
        <f t="shared" si="8"/>
        <v>6.1728395061728392E-3</v>
      </c>
      <c r="G28" s="231">
        <f>IFERROR(INDEX(年齢階層×在院期間区分F2＿寛解・院内寛解[#All],MATCH($AH12,年齢階層×在院期間区分F2＿寛解・院内寛解[[#All],[行ラベル]],0),MATCH($AR$3,年齢階層×在院期間区分F2＿寛解・院内寛解[#Headers],0)),0)+IFERROR(INDEX(年齢階層×在院期間区分F2＿寛解・院内寛解[#All],MATCH($AH12,年齢階層×在院期間区分F2＿寛解・院内寛解[[#All],[行ラベル]],0),MATCH($AS$3,年齢階層×在院期間区分F2＿寛解・院内寛解[#Headers],0)),0)+IFERROR(INDEX(年齢階層×在院期間区分F2＿寛解・院内寛解[#All],MATCH($AH12,年齢階層×在院期間区分F2＿寛解・院内寛解[[#All],[行ラベル]],0),MATCH($AT$3,年齢階層×在院期間区分F2＿寛解・院内寛解[#Headers],0)),0)+IFERROR(INDEX(年齢階層×在院期間区分F2＿寛解・院内寛解[#All],MATCH($AH12,年齢階層×在院期間区分F2＿寛解・院内寛解[[#All],[行ラベル]],0),MATCH($AU$3,年齢階層×在院期間区分F2＿寛解・院内寛解[#Headers],0)),0)+IFERROR(INDEX(年齢階層×在院期間区分F2＿寛解・院内寛解[#All],MATCH($AH12,年齢階層×在院期間区分F2＿寛解・院内寛解[[#All],[行ラベル]],0),MATCH($AV$3,年齢階層×在院期間区分F2＿寛解・院内寛解[#Headers],0)),0)</f>
        <v>1</v>
      </c>
      <c r="H28" s="210">
        <f t="shared" si="9"/>
        <v>1.6393442622950821E-2</v>
      </c>
      <c r="I28" s="231">
        <f>IFERROR(INDEX(年齢階層×在院期間区分F2＿寛解・院内寛解[#All],MATCH($AH12,年齢階層×在院期間区分F2＿寛解・院内寛解[[#All],[行ラベル]],0),MATCH($AW$3,年齢階層×在院期間区分F2＿寛解・院内寛解[#Headers],0)),0)+IFERROR(INDEX(年齢階層×在院期間区分F2＿寛解・院内寛解[#All],MATCH($AH12,年齢階層×在院期間区分F2＿寛解・院内寛解[[#All],[行ラベル]],0),MATCH($AX$3,年齢階層×在院期間区分F2＿寛解・院内寛解[#Headers],0)),0)</f>
        <v>1</v>
      </c>
      <c r="J28" s="210">
        <f t="shared" si="10"/>
        <v>1.1627906976744186E-2</v>
      </c>
      <c r="K28" s="208">
        <f t="shared" si="11"/>
        <v>6</v>
      </c>
      <c r="L28" s="210">
        <f t="shared" si="12"/>
        <v>9.538950715421303E-3</v>
      </c>
      <c r="M28" s="77"/>
      <c r="O28" s="53" t="s">
        <v>10</v>
      </c>
      <c r="P28" s="65">
        <v>1</v>
      </c>
      <c r="Q28" s="65">
        <v>1</v>
      </c>
      <c r="R28" s="65">
        <v>0</v>
      </c>
      <c r="S28" s="65">
        <v>1</v>
      </c>
      <c r="T28" s="65">
        <v>0</v>
      </c>
      <c r="U28" s="65">
        <v>0</v>
      </c>
      <c r="V28" s="65">
        <v>0</v>
      </c>
      <c r="W28" s="65">
        <v>1</v>
      </c>
      <c r="X28" s="65">
        <v>0</v>
      </c>
      <c r="Y28" s="65">
        <v>0</v>
      </c>
      <c r="Z28" s="65">
        <v>0</v>
      </c>
      <c r="AA28" s="65">
        <v>0</v>
      </c>
      <c r="AB28" s="65">
        <v>1</v>
      </c>
      <c r="AC28" s="65">
        <v>0</v>
      </c>
      <c r="AD28" s="65">
        <v>0</v>
      </c>
      <c r="AE28" s="65">
        <v>1</v>
      </c>
      <c r="AH28" s="53" t="s">
        <v>10</v>
      </c>
    </row>
    <row r="29" spans="2:38" s="21" customFormat="1" ht="18.75" customHeight="1" thickTop="1" thickBot="1" x14ac:dyDescent="0.2">
      <c r="B29" s="232" t="s">
        <v>161</v>
      </c>
      <c r="C29" s="233">
        <f t="shared" ref="C29:L29" si="13">SUM(C20:C28)</f>
        <v>320</v>
      </c>
      <c r="D29" s="240">
        <f t="shared" si="13"/>
        <v>1</v>
      </c>
      <c r="E29" s="233">
        <f t="shared" si="13"/>
        <v>162</v>
      </c>
      <c r="F29" s="240">
        <f t="shared" si="13"/>
        <v>1</v>
      </c>
      <c r="G29" s="233">
        <f t="shared" si="13"/>
        <v>61</v>
      </c>
      <c r="H29" s="240">
        <f t="shared" si="13"/>
        <v>0.99999999999999989</v>
      </c>
      <c r="I29" s="233">
        <f t="shared" si="13"/>
        <v>86</v>
      </c>
      <c r="J29" s="240">
        <f t="shared" si="13"/>
        <v>1</v>
      </c>
      <c r="K29" s="233">
        <f t="shared" si="13"/>
        <v>629</v>
      </c>
      <c r="L29" s="240">
        <f t="shared" si="13"/>
        <v>1</v>
      </c>
      <c r="O29" s="425" t="s">
        <v>308</v>
      </c>
      <c r="P29" s="489" t="s">
        <v>182</v>
      </c>
      <c r="Q29" s="61" t="s">
        <v>183</v>
      </c>
      <c r="R29" s="61" t="s">
        <v>184</v>
      </c>
      <c r="S29" s="61" t="s">
        <v>185</v>
      </c>
      <c r="T29" s="61" t="s">
        <v>186</v>
      </c>
      <c r="U29" s="61" t="s">
        <v>187</v>
      </c>
      <c r="V29" s="61" t="s">
        <v>188</v>
      </c>
      <c r="W29" s="61" t="s">
        <v>189</v>
      </c>
      <c r="X29" s="61" t="s">
        <v>190</v>
      </c>
      <c r="Y29" s="61" t="s">
        <v>191</v>
      </c>
      <c r="Z29" s="61" t="s">
        <v>192</v>
      </c>
      <c r="AA29" s="61" t="s">
        <v>193</v>
      </c>
      <c r="AB29" s="61" t="s">
        <v>194</v>
      </c>
      <c r="AC29" s="61" t="s">
        <v>195</v>
      </c>
      <c r="AD29" s="61" t="s">
        <v>196</v>
      </c>
      <c r="AE29" s="373" t="s">
        <v>197</v>
      </c>
      <c r="AL29" s="58"/>
    </row>
    <row r="30" spans="2:38" s="21" customFormat="1" ht="18.75" customHeight="1" thickTop="1" x14ac:dyDescent="0.15">
      <c r="B30" s="235" t="s">
        <v>93</v>
      </c>
      <c r="C30" s="236">
        <f>IFERROR(INDEX(年齢階層×在院期間区分F2_65歳未満以上＿寛解・院内寛解[#All],MATCH($AH30,年齢階層×在院期間区分F2_65歳未満以上＿寛解・院内寛解[[#All],[列1]],0),MATCH($AI$3,年齢階層×在院期間区分F2_65歳未満以上＿寛解・院内寛解[#Headers],0)),0)+IFERROR(INDEX(年齢階層×在院期間区分F2_65歳未満以上＿寛解・院内寛解[#All],MATCH($AH30,年齢階層×在院期間区分F2_65歳未満以上＿寛解・院内寛解[[#All],[列1]],0),MATCH($AJ$3,年齢階層×在院期間区分F2_65歳未満以上＿寛解・院内寛解[#Headers],0)),0)+IFERROR(INDEX(年齢階層×在院期間区分F2_65歳未満以上＿寛解・院内寛解[#All],MATCH($AH30,年齢階層×在院期間区分F2_65歳未満以上＿寛解・院内寛解[[#All],[列1]],0),MATCH($AK$3,年齢階層×在院期間区分F2_65歳未満以上＿寛解・院内寛解[#Headers],0)),0)+IFERROR(INDEX(年齢階層×在院期間区分F2_65歳未満以上＿寛解・院内寛解[#All],MATCH($AH30,年齢階層×在院期間区分F2_65歳未満以上＿寛解・院内寛解[[#All],[列1]],0),MATCH($AL$3,年齢階層×在院期間区分F2_65歳未満以上＿寛解・院内寛解[#Headers],0)),0)</f>
        <v>216</v>
      </c>
      <c r="D30" s="221">
        <f>IFERROR(C30/$C$29,"-")</f>
        <v>0.67500000000000004</v>
      </c>
      <c r="E30" s="236">
        <f>IFERROR(INDEX(年齢階層×在院期間区分F2_65歳未満以上＿寛解・院内寛解[#All],MATCH($AH30,年齢階層×在院期間区分F2_65歳未満以上＿寛解・院内寛解[[#All],[列1]],0),MATCH($AM$3,年齢階層×在院期間区分F2_65歳未満以上＿寛解・院内寛解[#Headers],0)),0)+IFERROR(INDEX(年齢階層×在院期間区分F2_65歳未満以上＿寛解・院内寛解[#All],MATCH($AH30,年齢階層×在院期間区分F2_65歳未満以上＿寛解・院内寛解[[#All],[列1]],0),MATCH($AN$3,年齢階層×在院期間区分F2_65歳未満以上＿寛解・院内寛解[#Headers],0)),0)+IFERROR(INDEX(年齢階層×在院期間区分F2_65歳未満以上＿寛解・院内寛解[#All],MATCH($AH30,年齢階層×在院期間区分F2_65歳未満以上＿寛解・院内寛解[[#All],[列1]],0),MATCH($AO$3,年齢階層×在院期間区分F2_65歳未満以上＿寛解・院内寛解[#Headers],0)),0)+IFERROR(INDEX(年齢階層×在院期間区分F2_65歳未満以上＿寛解・院内寛解[#All],MATCH($AH30,年齢階層×在院期間区分F2_65歳未満以上＿寛解・院内寛解[[#All],[列1]],0),MATCH($AP$3,年齢階層×在院期間区分F2_65歳未満以上＿寛解・院内寛解[#Headers],0)),0)+IFERROR(INDEX(年齢階層×在院期間区分F2_65歳未満以上＿寛解・院内寛解[#All],MATCH($AH30,年齢階層×在院期間区分F2_65歳未満以上＿寛解・院内寛解[[#All],[列1]],0),MATCH($AQ$3,年齢階層×在院期間区分F2_65歳未満以上＿寛解・院内寛解[#Headers],0)),0)</f>
        <v>86</v>
      </c>
      <c r="F30" s="221">
        <f>IFERROR(E30/$E$29,"-")</f>
        <v>0.53086419753086422</v>
      </c>
      <c r="G30" s="236">
        <f>IFERROR(INDEX(年齢階層×在院期間区分F2_65歳未満以上＿寛解・院内寛解[#All],MATCH($AH30,年齢階層×在院期間区分F2_65歳未満以上＿寛解・院内寛解[[#All],[列1]],0),MATCH($AR$3,年齢階層×在院期間区分F2_65歳未満以上＿寛解・院内寛解[#Headers],0)),0)+IFERROR(INDEX(年齢階層×在院期間区分F2_65歳未満以上＿寛解・院内寛解[#All],MATCH($AH30,年齢階層×在院期間区分F2_65歳未満以上＿寛解・院内寛解[[#All],[列1]],0),MATCH($AS$3,年齢階層×在院期間区分F2_65歳未満以上＿寛解・院内寛解[#Headers],0)),0)+IFERROR(INDEX(年齢階層×在院期間区分F2_65歳未満以上＿寛解・院内寛解[#All],MATCH($AH30,年齢階層×在院期間区分F2_65歳未満以上＿寛解・院内寛解[[#All],[列1]],0),MATCH($AT$3,年齢階層×在院期間区分F2_65歳未満以上＿寛解・院内寛解[#Headers],0)),0)+IFERROR(INDEX(年齢階層×在院期間区分F2_65歳未満以上＿寛解・院内寛解[#All],MATCH($AH30,年齢階層×在院期間区分F2_65歳未満以上＿寛解・院内寛解[[#All],[列1]],0),MATCH($AU$3,年齢階層×在院期間区分F2_65歳未満以上＿寛解・院内寛解[#Headers],0)),0)+IFERROR(INDEX(年齢階層×在院期間区分F2_65歳未満以上＿寛解・院内寛解[#All],MATCH($AH30,年齢階層×在院期間区分F2_65歳未満以上＿寛解・院内寛解[[#All],[列1]],0),MATCH($AV$3,年齢階層×在院期間区分F2_65歳未満以上＿寛解・院内寛解[#Headers],0)),0)</f>
        <v>37</v>
      </c>
      <c r="H30" s="221">
        <f>IFERROR(G30/$G$29,"-")</f>
        <v>0.60655737704918034</v>
      </c>
      <c r="I30" s="236">
        <f>IFERROR(INDEX(年齢階層×在院期間区分F2_65歳未満以上＿寛解・院内寛解[#All],MATCH($AH30,年齢階層×在院期間区分F2_65歳未満以上＿寛解・院内寛解[[#All],[列1]],0),MATCH($AW$3,年齢階層×在院期間区分F2_65歳未満以上＿寛解・院内寛解[#Headers],0)),0)+IFERROR(INDEX(年齢階層×在院期間区分F2_65歳未満以上＿寛解・院内寛解[#All],MATCH($AH30,年齢階層×在院期間区分F2_65歳未満以上＿寛解・院内寛解[[#All],[列1]],0),MATCH($AX$3,年齢階層×在院期間区分F2_65歳未満以上＿寛解・院内寛解[#Headers],0)),0)</f>
        <v>33</v>
      </c>
      <c r="J30" s="221">
        <f>IFERROR(I30/$I$29,"-")</f>
        <v>0.38372093023255816</v>
      </c>
      <c r="K30" s="236">
        <f>C30+E30+G30+I30</f>
        <v>372</v>
      </c>
      <c r="L30" s="221">
        <f>IFERROR(K30/$K$29,"-")</f>
        <v>0.59141494435612085</v>
      </c>
      <c r="O30" s="53" t="s">
        <v>306</v>
      </c>
      <c r="P30" s="65">
        <v>66</v>
      </c>
      <c r="Q30" s="65">
        <v>84</v>
      </c>
      <c r="R30" s="65">
        <v>44</v>
      </c>
      <c r="S30" s="65">
        <v>22</v>
      </c>
      <c r="T30" s="65">
        <v>15</v>
      </c>
      <c r="U30" s="65">
        <v>12</v>
      </c>
      <c r="V30" s="65">
        <v>21</v>
      </c>
      <c r="W30" s="65">
        <v>22</v>
      </c>
      <c r="X30" s="65">
        <v>16</v>
      </c>
      <c r="Y30" s="65">
        <v>14</v>
      </c>
      <c r="Z30" s="65">
        <v>9</v>
      </c>
      <c r="AA30" s="65">
        <v>8</v>
      </c>
      <c r="AB30" s="65">
        <v>3</v>
      </c>
      <c r="AC30" s="65">
        <v>3</v>
      </c>
      <c r="AD30" s="65">
        <v>24</v>
      </c>
      <c r="AE30" s="65">
        <v>9</v>
      </c>
      <c r="AH30" s="82" t="s">
        <v>156</v>
      </c>
    </row>
    <row r="31" spans="2:38" ht="18.75" customHeight="1" x14ac:dyDescent="0.15">
      <c r="B31" s="237" t="s">
        <v>89</v>
      </c>
      <c r="C31" s="236">
        <f>IFERROR(INDEX(年齢階層×在院期間区分F2_65歳未満以上＿寛解・院内寛解[#All],MATCH($AH31,年齢階層×在院期間区分F2_65歳未満以上＿寛解・院内寛解[[#All],[列1]],0),MATCH($AI$3,年齢階層×在院期間区分F2_65歳未満以上＿寛解・院内寛解[#Headers],0)),0)+IFERROR(INDEX(年齢階層×在院期間区分F2_65歳未満以上＿寛解・院内寛解[#All],MATCH($AH31,年齢階層×在院期間区分F2_65歳未満以上＿寛解・院内寛解[[#All],[列1]],0),MATCH($AJ$3,年齢階層×在院期間区分F2_65歳未満以上＿寛解・院内寛解[#Headers],0)),0)+IFERROR(INDEX(年齢階層×在院期間区分F2_65歳未満以上＿寛解・院内寛解[#All],MATCH($AH31,年齢階層×在院期間区分F2_65歳未満以上＿寛解・院内寛解[[#All],[列1]],0),MATCH($AK$3,年齢階層×在院期間区分F2_65歳未満以上＿寛解・院内寛解[#Headers],0)),0)+IFERROR(INDEX(年齢階層×在院期間区分F2_65歳未満以上＿寛解・院内寛解[#All],MATCH($AH31,年齢階層×在院期間区分F2_65歳未満以上＿寛解・院内寛解[[#All],[列1]],0),MATCH($AL$3,年齢階層×在院期間区分F2_65歳未満以上＿寛解・院内寛解[#Headers],0)),0)</f>
        <v>104</v>
      </c>
      <c r="D31" s="238">
        <f>IFERROR(C31/$C$29,"-")</f>
        <v>0.32500000000000001</v>
      </c>
      <c r="E31" s="236">
        <f>IFERROR(INDEX(年齢階層×在院期間区分F2_65歳未満以上＿寛解・院内寛解[#All],MATCH($AH31,年齢階層×在院期間区分F2_65歳未満以上＿寛解・院内寛解[[#All],[列1]],0),MATCH($AM$3,年齢階層×在院期間区分F2_65歳未満以上＿寛解・院内寛解[#Headers],0)),0)+IFERROR(INDEX(年齢階層×在院期間区分F2_65歳未満以上＿寛解・院内寛解[#All],MATCH($AH31,年齢階層×在院期間区分F2_65歳未満以上＿寛解・院内寛解[[#All],[列1]],0),MATCH($AN$3,年齢階層×在院期間区分F2_65歳未満以上＿寛解・院内寛解[#Headers],0)),0)+IFERROR(INDEX(年齢階層×在院期間区分F2_65歳未満以上＿寛解・院内寛解[#All],MATCH($AH31,年齢階層×在院期間区分F2_65歳未満以上＿寛解・院内寛解[[#All],[列1]],0),MATCH($AO$3,年齢階層×在院期間区分F2_65歳未満以上＿寛解・院内寛解[#Headers],0)),0)+IFERROR(INDEX(年齢階層×在院期間区分F2_65歳未満以上＿寛解・院内寛解[#All],MATCH($AH31,年齢階層×在院期間区分F2_65歳未満以上＿寛解・院内寛解[[#All],[列1]],0),MATCH($AP$3,年齢階層×在院期間区分F2_65歳未満以上＿寛解・院内寛解[#Headers],0)),0)+IFERROR(INDEX(年齢階層×在院期間区分F2_65歳未満以上＿寛解・院内寛解[#All],MATCH($AH31,年齢階層×在院期間区分F2_65歳未満以上＿寛解・院内寛解[[#All],[列1]],0),MATCH($AQ$3,年齢階層×在院期間区分F2_65歳未満以上＿寛解・院内寛解[#Headers],0)),0)</f>
        <v>76</v>
      </c>
      <c r="F31" s="238">
        <f>IFERROR(E31/$E$29,"-")</f>
        <v>0.46913580246913578</v>
      </c>
      <c r="G31" s="236">
        <f>IFERROR(INDEX(年齢階層×在院期間区分F2_65歳未満以上＿寛解・院内寛解[#All],MATCH($AH31,年齢階層×在院期間区分F2_65歳未満以上＿寛解・院内寛解[[#All],[列1]],0),MATCH($AR$3,年齢階層×在院期間区分F2_65歳未満以上＿寛解・院内寛解[#Headers],0)),0)+IFERROR(INDEX(年齢階層×在院期間区分F2_65歳未満以上＿寛解・院内寛解[#All],MATCH($AH31,年齢階層×在院期間区分F2_65歳未満以上＿寛解・院内寛解[[#All],[列1]],0),MATCH($AS$3,年齢階層×在院期間区分F2_65歳未満以上＿寛解・院内寛解[#Headers],0)),0)+IFERROR(INDEX(年齢階層×在院期間区分F2_65歳未満以上＿寛解・院内寛解[#All],MATCH($AH31,年齢階層×在院期間区分F2_65歳未満以上＿寛解・院内寛解[[#All],[列1]],0),MATCH($AT$3,年齢階層×在院期間区分F2_65歳未満以上＿寛解・院内寛解[#Headers],0)),0)+IFERROR(INDEX(年齢階層×在院期間区分F2_65歳未満以上＿寛解・院内寛解[#All],MATCH($AH31,年齢階層×在院期間区分F2_65歳未満以上＿寛解・院内寛解[[#All],[列1]],0),MATCH($AU$3,年齢階層×在院期間区分F2_65歳未満以上＿寛解・院内寛解[#Headers],0)),0)+IFERROR(INDEX(年齢階層×在院期間区分F2_65歳未満以上＿寛解・院内寛解[#All],MATCH($AH31,年齢階層×在院期間区分F2_65歳未満以上＿寛解・院内寛解[[#All],[列1]],0),MATCH($AV$3,年齢階層×在院期間区分F2_65歳未満以上＿寛解・院内寛解[#Headers],0)),0)</f>
        <v>24</v>
      </c>
      <c r="H31" s="238">
        <f>IFERROR(G31/$G$29,"-")</f>
        <v>0.39344262295081966</v>
      </c>
      <c r="I31" s="236">
        <f>IFERROR(INDEX(年齢階層×在院期間区分F2_65歳未満以上＿寛解・院内寛解[#All],MATCH($AH31,年齢階層×在院期間区分F2_65歳未満以上＿寛解・院内寛解[[#All],[列1]],0),MATCH($AW$3,年齢階層×在院期間区分F2_65歳未満以上＿寛解・院内寛解[#Headers],0)),0)+IFERROR(INDEX(年齢階層×在院期間区分F2_65歳未満以上＿寛解・院内寛解[#All],MATCH($AH31,年齢階層×在院期間区分F2_65歳未満以上＿寛解・院内寛解[[#All],[列1]],0),MATCH($AX$3,年齢階層×在院期間区分F2_65歳未満以上＿寛解・院内寛解[#Headers],0)),0)</f>
        <v>53</v>
      </c>
      <c r="J31" s="238">
        <f>IFERROR(I31/$I$29,"-")</f>
        <v>0.61627906976744184</v>
      </c>
      <c r="K31" s="236">
        <f>C31+E31+G31+I31</f>
        <v>257</v>
      </c>
      <c r="L31" s="238">
        <f>IFERROR(K31/$K$29,"-")</f>
        <v>0.40858505564387915</v>
      </c>
      <c r="O31" s="53" t="s">
        <v>307</v>
      </c>
      <c r="P31" s="65">
        <v>24</v>
      </c>
      <c r="Q31" s="65">
        <v>33</v>
      </c>
      <c r="R31" s="65">
        <v>22</v>
      </c>
      <c r="S31" s="65">
        <v>25</v>
      </c>
      <c r="T31" s="65">
        <v>14</v>
      </c>
      <c r="U31" s="65">
        <v>12</v>
      </c>
      <c r="V31" s="65">
        <v>16</v>
      </c>
      <c r="W31" s="65">
        <v>22</v>
      </c>
      <c r="X31" s="65">
        <v>12</v>
      </c>
      <c r="Y31" s="65">
        <v>10</v>
      </c>
      <c r="Z31" s="65">
        <v>3</v>
      </c>
      <c r="AA31" s="65">
        <v>4</v>
      </c>
      <c r="AB31" s="65">
        <v>6</v>
      </c>
      <c r="AC31" s="65">
        <v>1</v>
      </c>
      <c r="AD31" s="65">
        <v>28</v>
      </c>
      <c r="AE31" s="65">
        <v>25</v>
      </c>
      <c r="AH31" s="82" t="s">
        <v>88</v>
      </c>
    </row>
    <row r="32" spans="2:38" x14ac:dyDescent="0.15">
      <c r="F32" s="66"/>
      <c r="H32" s="66"/>
      <c r="J32" s="66"/>
      <c r="K32" s="44"/>
    </row>
    <row r="34" spans="2:49" x14ac:dyDescent="0.15">
      <c r="C34" s="52"/>
      <c r="D34" s="61"/>
      <c r="E34" s="61"/>
      <c r="F34" s="61"/>
      <c r="G34" s="61"/>
      <c r="H34" s="61"/>
      <c r="I34" s="61"/>
      <c r="J34" s="61"/>
      <c r="K34" s="61"/>
      <c r="L34" s="61"/>
      <c r="M34" s="61"/>
      <c r="N34" s="61"/>
      <c r="O34" s="61"/>
      <c r="P34" s="61"/>
      <c r="Q34" s="61"/>
      <c r="R34" s="83"/>
    </row>
    <row r="35" spans="2:49" x14ac:dyDescent="0.15">
      <c r="B35" s="37"/>
      <c r="C35" s="22"/>
      <c r="D35" s="22"/>
      <c r="E35" s="22"/>
      <c r="F35" s="22"/>
      <c r="G35" s="22"/>
      <c r="H35" s="22"/>
      <c r="I35" s="22"/>
      <c r="J35" s="22"/>
      <c r="K35" s="22"/>
      <c r="L35" s="22"/>
      <c r="M35" s="22"/>
      <c r="N35" s="22"/>
      <c r="O35" s="22"/>
      <c r="P35" s="22"/>
      <c r="Q35" s="22"/>
      <c r="R35" s="22"/>
      <c r="S35" s="22"/>
    </row>
    <row r="36" spans="2:49" x14ac:dyDescent="0.15">
      <c r="B36" s="37"/>
      <c r="C36" s="22"/>
      <c r="D36" s="22"/>
      <c r="E36" s="22"/>
      <c r="F36" s="22"/>
      <c r="G36" s="22"/>
      <c r="H36" s="22"/>
      <c r="I36" s="22"/>
      <c r="J36" s="22"/>
      <c r="K36" s="22"/>
      <c r="L36" s="22"/>
      <c r="M36" s="22"/>
      <c r="N36" s="22"/>
      <c r="O36" s="22"/>
      <c r="P36" s="22"/>
      <c r="Q36" s="22"/>
      <c r="R36" s="22"/>
      <c r="S36" s="22"/>
    </row>
    <row r="37" spans="2:49" x14ac:dyDescent="0.15">
      <c r="B37" s="49"/>
      <c r="C37" s="84"/>
      <c r="D37" s="84"/>
      <c r="E37" s="84"/>
      <c r="F37" s="84"/>
      <c r="G37" s="84"/>
      <c r="H37" s="84"/>
      <c r="I37" s="84"/>
      <c r="J37" s="84"/>
      <c r="K37" s="84"/>
      <c r="L37" s="84"/>
      <c r="M37" s="84"/>
      <c r="N37" s="84"/>
      <c r="O37" s="84"/>
      <c r="P37" s="84"/>
      <c r="Q37" s="84"/>
      <c r="R37" s="84"/>
      <c r="S37" s="84"/>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row>
    <row r="38" spans="2:49" ht="35.25" customHeight="1" x14ac:dyDescent="0.15">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row>
    <row r="39" spans="2:49" x14ac:dyDescent="0.15">
      <c r="B39" s="7"/>
      <c r="C39" s="85"/>
      <c r="D39" s="85"/>
      <c r="E39" s="85"/>
      <c r="F39" s="85"/>
      <c r="G39" s="85"/>
      <c r="H39" s="85"/>
      <c r="I39" s="85"/>
      <c r="J39" s="85"/>
      <c r="K39" s="85"/>
      <c r="L39" s="85"/>
      <c r="M39" s="85"/>
      <c r="N39" s="85"/>
      <c r="O39" s="85"/>
      <c r="P39" s="85"/>
      <c r="Q39" s="85"/>
      <c r="R39" s="85"/>
      <c r="S39" s="85"/>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row>
    <row r="40" spans="2:49" x14ac:dyDescent="0.15">
      <c r="B40" s="7"/>
      <c r="C40" s="85"/>
      <c r="D40" s="85"/>
      <c r="E40" s="85"/>
      <c r="F40" s="85"/>
      <c r="G40" s="85"/>
      <c r="H40" s="85"/>
      <c r="I40" s="85"/>
      <c r="J40" s="85"/>
      <c r="K40" s="85"/>
      <c r="L40" s="85"/>
      <c r="M40" s="85"/>
      <c r="N40" s="85"/>
      <c r="O40" s="85"/>
      <c r="P40" s="85"/>
      <c r="Q40" s="85"/>
      <c r="R40" s="85"/>
      <c r="S40" s="85"/>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row>
    <row r="41" spans="2:49" x14ac:dyDescent="0.15">
      <c r="B41" s="7"/>
      <c r="C41" s="85"/>
      <c r="D41" s="85"/>
      <c r="E41" s="85"/>
      <c r="F41" s="85"/>
      <c r="G41" s="85"/>
      <c r="H41" s="85"/>
      <c r="I41" s="85"/>
      <c r="J41" s="85"/>
      <c r="K41" s="85"/>
      <c r="L41" s="85"/>
      <c r="M41" s="85"/>
      <c r="N41" s="85"/>
      <c r="O41" s="85"/>
      <c r="P41" s="85"/>
      <c r="Q41" s="85"/>
      <c r="R41" s="85"/>
      <c r="S41" s="85"/>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row>
    <row r="42" spans="2:49" x14ac:dyDescent="0.15">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row>
    <row r="43" spans="2:49" x14ac:dyDescent="0.15">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row>
    <row r="44" spans="2:49" x14ac:dyDescent="0.15">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row>
    <row r="45" spans="2:49" x14ac:dyDescent="0.15">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row>
    <row r="46" spans="2:49" x14ac:dyDescent="0.15">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row>
    <row r="47" spans="2:49" x14ac:dyDescent="0.15">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row>
    <row r="48" spans="2:49" x14ac:dyDescent="0.15">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row>
    <row r="49" spans="2:49" x14ac:dyDescent="0.15">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row>
    <row r="50" spans="2:49" x14ac:dyDescent="0.15">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row>
    <row r="51" spans="2:49" x14ac:dyDescent="0.15">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row>
    <row r="52" spans="2:49" x14ac:dyDescent="0.15">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row>
    <row r="53" spans="2:49" x14ac:dyDescent="0.15">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row>
    <row r="54" spans="2:49" x14ac:dyDescent="0.15">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row>
    <row r="55" spans="2:49" x14ac:dyDescent="0.15">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row>
    <row r="56" spans="2:49" x14ac:dyDescent="0.15">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row>
    <row r="57" spans="2:49" x14ac:dyDescent="0.15">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row>
    <row r="58" spans="2:49" x14ac:dyDescent="0.15">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row>
    <row r="59" spans="2:49" x14ac:dyDescent="0.15">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row>
    <row r="60" spans="2:49" x14ac:dyDescent="0.15">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row>
    <row r="61" spans="2:49" x14ac:dyDescent="0.15">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row>
    <row r="62" spans="2:49" x14ac:dyDescent="0.15">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row>
    <row r="63" spans="2:49" x14ac:dyDescent="0.15">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row>
    <row r="64" spans="2:49" x14ac:dyDescent="0.15">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row>
    <row r="65" spans="2:49" x14ac:dyDescent="0.15">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row>
    <row r="66" spans="2:49" x14ac:dyDescent="0.15">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row>
    <row r="67" spans="2:49" x14ac:dyDescent="0.15">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row>
    <row r="68" spans="2:49" x14ac:dyDescent="0.15">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row>
    <row r="69" spans="2:49" x14ac:dyDescent="0.15">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row>
    <row r="70" spans="2:49" x14ac:dyDescent="0.15">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row>
    <row r="71" spans="2:49" x14ac:dyDescent="0.15">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row>
    <row r="72" spans="2:49" x14ac:dyDescent="0.15">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row>
    <row r="73" spans="2:49" x14ac:dyDescent="0.15">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row>
    <row r="74" spans="2:49" x14ac:dyDescent="0.15">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row>
    <row r="75" spans="2:49" x14ac:dyDescent="0.15">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row>
    <row r="76" spans="2:49" x14ac:dyDescent="0.15">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row>
    <row r="77" spans="2:49" x14ac:dyDescent="0.15">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row>
    <row r="78" spans="2:49" x14ac:dyDescent="0.15">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row>
    <row r="79" spans="2:49" x14ac:dyDescent="0.15">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row>
    <row r="80" spans="2:49" x14ac:dyDescent="0.15">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row>
    <row r="81" spans="2:49" x14ac:dyDescent="0.15">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row>
    <row r="82" spans="2:49" x14ac:dyDescent="0.15">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row>
    <row r="83" spans="2:49" x14ac:dyDescent="0.15">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row>
    <row r="84" spans="2:49" x14ac:dyDescent="0.15">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row>
    <row r="85" spans="2:49" x14ac:dyDescent="0.15">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row>
    <row r="86" spans="2:49" x14ac:dyDescent="0.15">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row>
    <row r="87" spans="2:49" x14ac:dyDescent="0.15">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row>
    <row r="88" spans="2:49" x14ac:dyDescent="0.15">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row>
    <row r="89" spans="2:49" x14ac:dyDescent="0.15">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row>
    <row r="90" spans="2:49" x14ac:dyDescent="0.15">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row>
    <row r="91" spans="2:49" x14ac:dyDescent="0.15">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row>
    <row r="92" spans="2:49" x14ac:dyDescent="0.15">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row>
    <row r="93" spans="2:49" x14ac:dyDescent="0.15">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row>
    <row r="94" spans="2:49" x14ac:dyDescent="0.15">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row>
    <row r="95" spans="2:49" x14ac:dyDescent="0.15">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row>
    <row r="96" spans="2:49" x14ac:dyDescent="0.15">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row>
    <row r="97" spans="2:49" x14ac:dyDescent="0.15">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row>
    <row r="98" spans="2:49" x14ac:dyDescent="0.15">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row>
    <row r="99" spans="2:49" x14ac:dyDescent="0.15">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row>
    <row r="100" spans="2:49" x14ac:dyDescent="0.15">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row>
    <row r="101" spans="2:49" x14ac:dyDescent="0.15">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row>
    <row r="102" spans="2:49" x14ac:dyDescent="0.15">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row>
    <row r="103" spans="2:49" x14ac:dyDescent="0.15">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row>
    <row r="104" spans="2:49" x14ac:dyDescent="0.15">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row>
    <row r="105" spans="2:49" x14ac:dyDescent="0.15">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row>
    <row r="106" spans="2:49" x14ac:dyDescent="0.15">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row>
    <row r="107" spans="2:49" x14ac:dyDescent="0.15">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row>
    <row r="108" spans="2:49" x14ac:dyDescent="0.15">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row>
    <row r="109" spans="2:49" x14ac:dyDescent="0.15">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row>
    <row r="110" spans="2:49" x14ac:dyDescent="0.15">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row>
    <row r="111" spans="2:49" x14ac:dyDescent="0.15">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row>
    <row r="112" spans="2:49" x14ac:dyDescent="0.15">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row>
    <row r="113" spans="2:49" x14ac:dyDescent="0.15">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row>
    <row r="114" spans="2:49" x14ac:dyDescent="0.15">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row>
    <row r="115" spans="2:49" x14ac:dyDescent="0.15">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row>
    <row r="116" spans="2:49" x14ac:dyDescent="0.15">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row>
    <row r="117" spans="2:49" x14ac:dyDescent="0.15">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row>
    <row r="118" spans="2:49" x14ac:dyDescent="0.15">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row>
    <row r="119" spans="2:49" x14ac:dyDescent="0.15">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row>
    <row r="120" spans="2:49" x14ac:dyDescent="0.15">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row>
    <row r="121" spans="2:49" x14ac:dyDescent="0.15">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row>
    <row r="122" spans="2:49" x14ac:dyDescent="0.15">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row>
    <row r="123" spans="2:49" x14ac:dyDescent="0.15">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row>
    <row r="124" spans="2:49" x14ac:dyDescent="0.15">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row>
    <row r="125" spans="2:49" x14ac:dyDescent="0.15">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row>
    <row r="126" spans="2:49" x14ac:dyDescent="0.15">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row>
    <row r="127" spans="2:49" x14ac:dyDescent="0.15">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row>
    <row r="128" spans="2:49" x14ac:dyDescent="0.15">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row>
    <row r="129" spans="2:49" x14ac:dyDescent="0.15">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c r="AP129" s="21"/>
      <c r="AQ129" s="21"/>
      <c r="AR129" s="21"/>
      <c r="AS129" s="21"/>
      <c r="AT129" s="21"/>
      <c r="AU129" s="21"/>
      <c r="AV129" s="21"/>
      <c r="AW129" s="21"/>
    </row>
    <row r="130" spans="2:49" x14ac:dyDescent="0.15">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c r="AP130" s="21"/>
      <c r="AQ130" s="21"/>
      <c r="AR130" s="21"/>
      <c r="AS130" s="21"/>
      <c r="AT130" s="21"/>
      <c r="AU130" s="21"/>
      <c r="AV130" s="21"/>
      <c r="AW130" s="21"/>
    </row>
    <row r="131" spans="2:49" x14ac:dyDescent="0.15">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c r="AP131" s="21"/>
      <c r="AQ131" s="21"/>
      <c r="AR131" s="21"/>
      <c r="AS131" s="21"/>
      <c r="AT131" s="21"/>
      <c r="AU131" s="21"/>
      <c r="AV131" s="21"/>
      <c r="AW131" s="21"/>
    </row>
    <row r="132" spans="2:49" x14ac:dyDescent="0.15">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c r="AP132" s="21"/>
      <c r="AQ132" s="21"/>
      <c r="AR132" s="21"/>
      <c r="AS132" s="21"/>
      <c r="AT132" s="21"/>
      <c r="AU132" s="21"/>
      <c r="AV132" s="21"/>
      <c r="AW132" s="21"/>
    </row>
    <row r="133" spans="2:49" x14ac:dyDescent="0.15">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c r="AP133" s="21"/>
      <c r="AQ133" s="21"/>
      <c r="AR133" s="21"/>
      <c r="AS133" s="21"/>
      <c r="AT133" s="21"/>
      <c r="AU133" s="21"/>
      <c r="AV133" s="21"/>
      <c r="AW133" s="21"/>
    </row>
    <row r="134" spans="2:49" x14ac:dyDescent="0.15">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21"/>
      <c r="AU134" s="21"/>
      <c r="AV134" s="21"/>
      <c r="AW134" s="21"/>
    </row>
    <row r="135" spans="2:49" x14ac:dyDescent="0.15">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21"/>
    </row>
    <row r="136" spans="2:49" x14ac:dyDescent="0.15">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c r="AP136" s="21"/>
      <c r="AQ136" s="21"/>
      <c r="AR136" s="21"/>
      <c r="AS136" s="21"/>
      <c r="AT136" s="21"/>
      <c r="AU136" s="21"/>
      <c r="AV136" s="21"/>
      <c r="AW136" s="21"/>
    </row>
    <row r="137" spans="2:49" x14ac:dyDescent="0.15">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row>
    <row r="138" spans="2:49" x14ac:dyDescent="0.15">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row>
    <row r="139" spans="2:49" x14ac:dyDescent="0.15">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c r="AN139" s="21"/>
      <c r="AO139" s="21"/>
      <c r="AP139" s="21"/>
      <c r="AQ139" s="21"/>
      <c r="AR139" s="21"/>
      <c r="AS139" s="21"/>
      <c r="AT139" s="21"/>
      <c r="AU139" s="21"/>
      <c r="AV139" s="21"/>
      <c r="AW139" s="21"/>
    </row>
    <row r="140" spans="2:49" x14ac:dyDescent="0.15">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c r="AP140" s="21"/>
      <c r="AQ140" s="21"/>
      <c r="AR140" s="21"/>
      <c r="AS140" s="21"/>
      <c r="AT140" s="21"/>
      <c r="AU140" s="21"/>
      <c r="AV140" s="21"/>
      <c r="AW140" s="21"/>
    </row>
    <row r="141" spans="2:49" x14ac:dyDescent="0.15">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c r="AP141" s="21"/>
      <c r="AQ141" s="21"/>
      <c r="AR141" s="21"/>
      <c r="AS141" s="21"/>
      <c r="AT141" s="21"/>
      <c r="AU141" s="21"/>
      <c r="AV141" s="21"/>
      <c r="AW141" s="21"/>
    </row>
    <row r="142" spans="2:49" x14ac:dyDescent="0.15">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c r="AM142" s="21"/>
      <c r="AN142" s="21"/>
      <c r="AO142" s="21"/>
      <c r="AP142" s="21"/>
      <c r="AQ142" s="21"/>
      <c r="AR142" s="21"/>
      <c r="AS142" s="21"/>
      <c r="AT142" s="21"/>
      <c r="AU142" s="21"/>
      <c r="AV142" s="21"/>
      <c r="AW142" s="21"/>
    </row>
    <row r="143" spans="2:49" x14ac:dyDescent="0.15">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1"/>
      <c r="AN143" s="21"/>
      <c r="AO143" s="21"/>
      <c r="AP143" s="21"/>
      <c r="AQ143" s="21"/>
      <c r="AR143" s="21"/>
      <c r="AS143" s="21"/>
      <c r="AT143" s="21"/>
      <c r="AU143" s="21"/>
      <c r="AV143" s="21"/>
      <c r="AW143" s="21"/>
    </row>
    <row r="144" spans="2:49" x14ac:dyDescent="0.15">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c r="AM144" s="21"/>
      <c r="AN144" s="21"/>
      <c r="AO144" s="21"/>
      <c r="AP144" s="21"/>
      <c r="AQ144" s="21"/>
      <c r="AR144" s="21"/>
      <c r="AS144" s="21"/>
      <c r="AT144" s="21"/>
      <c r="AU144" s="21"/>
      <c r="AV144" s="21"/>
      <c r="AW144" s="21"/>
    </row>
    <row r="145" spans="2:49" x14ac:dyDescent="0.15">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c r="AL145" s="21"/>
      <c r="AM145" s="21"/>
      <c r="AN145" s="21"/>
      <c r="AO145" s="21"/>
      <c r="AP145" s="21"/>
      <c r="AQ145" s="21"/>
      <c r="AR145" s="21"/>
      <c r="AS145" s="21"/>
      <c r="AT145" s="21"/>
      <c r="AU145" s="21"/>
      <c r="AV145" s="21"/>
      <c r="AW145" s="21"/>
    </row>
    <row r="146" spans="2:49" x14ac:dyDescent="0.15">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c r="AM146" s="21"/>
      <c r="AN146" s="21"/>
      <c r="AO146" s="21"/>
      <c r="AP146" s="21"/>
      <c r="AQ146" s="21"/>
      <c r="AR146" s="21"/>
      <c r="AS146" s="21"/>
      <c r="AT146" s="21"/>
      <c r="AU146" s="21"/>
      <c r="AV146" s="21"/>
      <c r="AW146" s="21"/>
    </row>
    <row r="147" spans="2:49" x14ac:dyDescent="0.15">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c r="AM147" s="21"/>
      <c r="AN147" s="21"/>
      <c r="AO147" s="21"/>
      <c r="AP147" s="21"/>
      <c r="AQ147" s="21"/>
      <c r="AR147" s="21"/>
      <c r="AS147" s="21"/>
      <c r="AT147" s="21"/>
      <c r="AU147" s="21"/>
      <c r="AV147" s="21"/>
      <c r="AW147" s="21"/>
    </row>
    <row r="148" spans="2:49" x14ac:dyDescent="0.15">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row>
    <row r="149" spans="2:49" x14ac:dyDescent="0.15">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T149" s="21"/>
      <c r="AU149" s="21"/>
      <c r="AV149" s="21"/>
      <c r="AW149" s="21"/>
    </row>
    <row r="150" spans="2:49" x14ac:dyDescent="0.15">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c r="AW150" s="21"/>
    </row>
    <row r="151" spans="2:49" x14ac:dyDescent="0.15">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c r="AM151" s="21"/>
      <c r="AN151" s="21"/>
      <c r="AO151" s="21"/>
      <c r="AP151" s="21"/>
      <c r="AQ151" s="21"/>
      <c r="AR151" s="21"/>
      <c r="AS151" s="21"/>
      <c r="AT151" s="21"/>
      <c r="AU151" s="21"/>
      <c r="AV151" s="21"/>
      <c r="AW151" s="21"/>
    </row>
    <row r="152" spans="2:49" x14ac:dyDescent="0.15">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row>
    <row r="153" spans="2:49" x14ac:dyDescent="0.15">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21"/>
      <c r="AT153" s="21"/>
      <c r="AU153" s="21"/>
      <c r="AV153" s="21"/>
      <c r="AW153" s="21"/>
    </row>
    <row r="154" spans="2:49" x14ac:dyDescent="0.15">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c r="AP154" s="21"/>
      <c r="AQ154" s="21"/>
      <c r="AR154" s="21"/>
      <c r="AS154" s="21"/>
      <c r="AT154" s="21"/>
      <c r="AU154" s="21"/>
      <c r="AV154" s="21"/>
      <c r="AW154" s="21"/>
    </row>
    <row r="155" spans="2:49" x14ac:dyDescent="0.15">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c r="AM155" s="21"/>
      <c r="AN155" s="21"/>
      <c r="AO155" s="21"/>
      <c r="AP155" s="21"/>
      <c r="AQ155" s="21"/>
      <c r="AR155" s="21"/>
      <c r="AS155" s="21"/>
      <c r="AT155" s="21"/>
      <c r="AU155" s="21"/>
      <c r="AV155" s="21"/>
      <c r="AW155" s="21"/>
    </row>
    <row r="156" spans="2:49" x14ac:dyDescent="0.15">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c r="AM156" s="21"/>
      <c r="AN156" s="21"/>
      <c r="AO156" s="21"/>
      <c r="AP156" s="21"/>
      <c r="AQ156" s="21"/>
      <c r="AR156" s="21"/>
      <c r="AS156" s="21"/>
      <c r="AT156" s="21"/>
      <c r="AU156" s="21"/>
      <c r="AV156" s="21"/>
      <c r="AW156" s="21"/>
    </row>
    <row r="157" spans="2:49" x14ac:dyDescent="0.15">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c r="AL157" s="21"/>
      <c r="AM157" s="21"/>
      <c r="AN157" s="21"/>
      <c r="AO157" s="21"/>
      <c r="AP157" s="21"/>
      <c r="AQ157" s="21"/>
      <c r="AR157" s="21"/>
      <c r="AS157" s="21"/>
      <c r="AT157" s="21"/>
      <c r="AU157" s="21"/>
      <c r="AV157" s="21"/>
      <c r="AW157" s="21"/>
    </row>
    <row r="158" spans="2:49" x14ac:dyDescent="0.15">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c r="AL158" s="21"/>
      <c r="AM158" s="21"/>
      <c r="AN158" s="21"/>
      <c r="AO158" s="21"/>
      <c r="AP158" s="21"/>
      <c r="AQ158" s="21"/>
      <c r="AR158" s="21"/>
      <c r="AS158" s="21"/>
      <c r="AT158" s="21"/>
      <c r="AU158" s="21"/>
      <c r="AV158" s="21"/>
      <c r="AW158" s="21"/>
    </row>
    <row r="159" spans="2:49" x14ac:dyDescent="0.15">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c r="AM159" s="21"/>
      <c r="AN159" s="21"/>
      <c r="AO159" s="21"/>
      <c r="AP159" s="21"/>
      <c r="AQ159" s="21"/>
      <c r="AR159" s="21"/>
      <c r="AS159" s="21"/>
      <c r="AT159" s="21"/>
      <c r="AU159" s="21"/>
      <c r="AV159" s="21"/>
      <c r="AW159" s="21"/>
    </row>
    <row r="160" spans="2:49" x14ac:dyDescent="0.15">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c r="AW160" s="21"/>
    </row>
    <row r="161" spans="2:49" x14ac:dyDescent="0.15">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c r="AN161" s="21"/>
      <c r="AO161" s="21"/>
      <c r="AP161" s="21"/>
      <c r="AQ161" s="21"/>
      <c r="AR161" s="21"/>
      <c r="AS161" s="21"/>
      <c r="AT161" s="21"/>
      <c r="AU161" s="21"/>
      <c r="AV161" s="21"/>
      <c r="AW161" s="21"/>
    </row>
    <row r="162" spans="2:49" x14ac:dyDescent="0.15">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row>
    <row r="163" spans="2:49" x14ac:dyDescent="0.15">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c r="AM163" s="21"/>
      <c r="AN163" s="21"/>
      <c r="AO163" s="21"/>
      <c r="AP163" s="21"/>
      <c r="AQ163" s="21"/>
      <c r="AR163" s="21"/>
      <c r="AS163" s="21"/>
      <c r="AT163" s="21"/>
      <c r="AU163" s="21"/>
      <c r="AV163" s="21"/>
      <c r="AW163" s="21"/>
    </row>
    <row r="164" spans="2:49" x14ac:dyDescent="0.15">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c r="AM164" s="21"/>
      <c r="AN164" s="21"/>
      <c r="AO164" s="21"/>
      <c r="AP164" s="21"/>
      <c r="AQ164" s="21"/>
      <c r="AR164" s="21"/>
      <c r="AS164" s="21"/>
      <c r="AT164" s="21"/>
      <c r="AU164" s="21"/>
      <c r="AV164" s="21"/>
      <c r="AW164" s="21"/>
    </row>
    <row r="165" spans="2:49" x14ac:dyDescent="0.15">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c r="AM165" s="21"/>
      <c r="AN165" s="21"/>
      <c r="AO165" s="21"/>
      <c r="AP165" s="21"/>
      <c r="AQ165" s="21"/>
      <c r="AR165" s="21"/>
      <c r="AS165" s="21"/>
      <c r="AT165" s="21"/>
      <c r="AU165" s="21"/>
      <c r="AV165" s="21"/>
      <c r="AW165" s="21"/>
    </row>
    <row r="166" spans="2:49" x14ac:dyDescent="0.15">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row>
    <row r="167" spans="2:49" x14ac:dyDescent="0.15">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row>
    <row r="168" spans="2:49" x14ac:dyDescent="0.15">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row>
    <row r="169" spans="2:49" x14ac:dyDescent="0.15">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row>
    <row r="170" spans="2:49" x14ac:dyDescent="0.15">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c r="AL170" s="21"/>
      <c r="AM170" s="21"/>
      <c r="AN170" s="21"/>
      <c r="AO170" s="21"/>
      <c r="AP170" s="21"/>
      <c r="AQ170" s="21"/>
      <c r="AR170" s="21"/>
      <c r="AS170" s="21"/>
      <c r="AT170" s="21"/>
      <c r="AU170" s="21"/>
      <c r="AV170" s="21"/>
      <c r="AW170" s="21"/>
    </row>
    <row r="171" spans="2:49" x14ac:dyDescent="0.15">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c r="AW171" s="21"/>
    </row>
    <row r="172" spans="2:49" x14ac:dyDescent="0.15">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row>
    <row r="173" spans="2:49" x14ac:dyDescent="0.15">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row>
    <row r="174" spans="2:49" x14ac:dyDescent="0.15">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row>
    <row r="175" spans="2:49" x14ac:dyDescent="0.15">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1"/>
      <c r="AN175" s="21"/>
      <c r="AO175" s="21"/>
      <c r="AP175" s="21"/>
      <c r="AQ175" s="21"/>
      <c r="AR175" s="21"/>
      <c r="AS175" s="21"/>
      <c r="AT175" s="21"/>
      <c r="AU175" s="21"/>
      <c r="AV175" s="21"/>
      <c r="AW175" s="21"/>
    </row>
    <row r="176" spans="2:49" x14ac:dyDescent="0.15">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c r="AM176" s="21"/>
      <c r="AN176" s="21"/>
      <c r="AO176" s="21"/>
      <c r="AP176" s="21"/>
      <c r="AQ176" s="21"/>
      <c r="AR176" s="21"/>
      <c r="AS176" s="21"/>
      <c r="AT176" s="21"/>
      <c r="AU176" s="21"/>
      <c r="AV176" s="21"/>
      <c r="AW176" s="21"/>
    </row>
    <row r="177" spans="2:49" x14ac:dyDescent="0.15">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c r="AL177" s="21"/>
      <c r="AM177" s="21"/>
      <c r="AN177" s="21"/>
      <c r="AO177" s="21"/>
      <c r="AP177" s="21"/>
      <c r="AQ177" s="21"/>
      <c r="AR177" s="21"/>
      <c r="AS177" s="21"/>
      <c r="AT177" s="21"/>
      <c r="AU177" s="21"/>
      <c r="AV177" s="21"/>
      <c r="AW177" s="21"/>
    </row>
    <row r="178" spans="2:49" x14ac:dyDescent="0.15">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c r="AN178" s="21"/>
      <c r="AO178" s="21"/>
      <c r="AP178" s="21"/>
      <c r="AQ178" s="21"/>
      <c r="AR178" s="21"/>
      <c r="AS178" s="21"/>
      <c r="AT178" s="21"/>
      <c r="AU178" s="21"/>
      <c r="AV178" s="21"/>
      <c r="AW178" s="21"/>
    </row>
    <row r="179" spans="2:49" x14ac:dyDescent="0.15">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row>
    <row r="180" spans="2:49" x14ac:dyDescent="0.15">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row>
    <row r="181" spans="2:49" x14ac:dyDescent="0.15">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row>
    <row r="182" spans="2:49" x14ac:dyDescent="0.15">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c r="AM182" s="21"/>
      <c r="AN182" s="21"/>
      <c r="AO182" s="21"/>
      <c r="AP182" s="21"/>
      <c r="AQ182" s="21"/>
      <c r="AR182" s="21"/>
      <c r="AS182" s="21"/>
      <c r="AT182" s="21"/>
      <c r="AU182" s="21"/>
      <c r="AV182" s="21"/>
      <c r="AW182" s="21"/>
    </row>
    <row r="183" spans="2:49" x14ac:dyDescent="0.15">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c r="AM183" s="21"/>
      <c r="AN183" s="21"/>
      <c r="AO183" s="21"/>
      <c r="AP183" s="21"/>
      <c r="AQ183" s="21"/>
      <c r="AR183" s="21"/>
      <c r="AS183" s="21"/>
      <c r="AT183" s="21"/>
      <c r="AU183" s="21"/>
      <c r="AV183" s="21"/>
      <c r="AW183" s="21"/>
    </row>
    <row r="184" spans="2:49" x14ac:dyDescent="0.15">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c r="AN184" s="21"/>
      <c r="AO184" s="21"/>
      <c r="AP184" s="21"/>
      <c r="AQ184" s="21"/>
      <c r="AR184" s="21"/>
      <c r="AS184" s="21"/>
      <c r="AT184" s="21"/>
      <c r="AU184" s="21"/>
      <c r="AV184" s="21"/>
      <c r="AW184" s="21"/>
    </row>
    <row r="185" spans="2:49" x14ac:dyDescent="0.15">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c r="AL185" s="21"/>
      <c r="AM185" s="21"/>
      <c r="AN185" s="21"/>
      <c r="AO185" s="21"/>
      <c r="AP185" s="21"/>
      <c r="AQ185" s="21"/>
      <c r="AR185" s="21"/>
      <c r="AS185" s="21"/>
      <c r="AT185" s="21"/>
      <c r="AU185" s="21"/>
      <c r="AV185" s="21"/>
      <c r="AW185" s="21"/>
    </row>
    <row r="186" spans="2:49" x14ac:dyDescent="0.15">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c r="AL186" s="21"/>
      <c r="AM186" s="21"/>
      <c r="AN186" s="21"/>
      <c r="AO186" s="21"/>
      <c r="AP186" s="21"/>
      <c r="AQ186" s="21"/>
      <c r="AR186" s="21"/>
      <c r="AS186" s="21"/>
      <c r="AT186" s="21"/>
      <c r="AU186" s="21"/>
      <c r="AV186" s="21"/>
      <c r="AW186" s="21"/>
    </row>
    <row r="187" spans="2:49" x14ac:dyDescent="0.15">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1"/>
      <c r="AN187" s="21"/>
      <c r="AO187" s="21"/>
      <c r="AP187" s="21"/>
      <c r="AQ187" s="21"/>
      <c r="AR187" s="21"/>
      <c r="AS187" s="21"/>
      <c r="AT187" s="21"/>
      <c r="AU187" s="21"/>
      <c r="AV187" s="21"/>
      <c r="AW187" s="21"/>
    </row>
    <row r="188" spans="2:49" x14ac:dyDescent="0.15">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1"/>
      <c r="AN188" s="21"/>
      <c r="AO188" s="21"/>
      <c r="AP188" s="21"/>
      <c r="AQ188" s="21"/>
      <c r="AR188" s="21"/>
      <c r="AS188" s="21"/>
      <c r="AT188" s="21"/>
      <c r="AU188" s="21"/>
      <c r="AV188" s="21"/>
      <c r="AW188" s="21"/>
    </row>
    <row r="189" spans="2:49" x14ac:dyDescent="0.15">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c r="AN189" s="21"/>
      <c r="AO189" s="21"/>
      <c r="AP189" s="21"/>
      <c r="AQ189" s="21"/>
      <c r="AR189" s="21"/>
      <c r="AS189" s="21"/>
      <c r="AT189" s="21"/>
      <c r="AU189" s="21"/>
      <c r="AV189" s="21"/>
      <c r="AW189" s="21"/>
    </row>
    <row r="190" spans="2:49" x14ac:dyDescent="0.15">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c r="AM190" s="21"/>
      <c r="AN190" s="21"/>
      <c r="AO190" s="21"/>
      <c r="AP190" s="21"/>
      <c r="AQ190" s="21"/>
      <c r="AR190" s="21"/>
      <c r="AS190" s="21"/>
      <c r="AT190" s="21"/>
      <c r="AU190" s="21"/>
      <c r="AV190" s="21"/>
      <c r="AW190" s="21"/>
    </row>
    <row r="191" spans="2:49" x14ac:dyDescent="0.15">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c r="AM191" s="21"/>
      <c r="AN191" s="21"/>
      <c r="AO191" s="21"/>
      <c r="AP191" s="21"/>
      <c r="AQ191" s="21"/>
      <c r="AR191" s="21"/>
      <c r="AS191" s="21"/>
      <c r="AT191" s="21"/>
      <c r="AU191" s="21"/>
      <c r="AV191" s="21"/>
      <c r="AW191" s="21"/>
    </row>
    <row r="192" spans="2:49" x14ac:dyDescent="0.15">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c r="AM192" s="21"/>
      <c r="AN192" s="21"/>
      <c r="AO192" s="21"/>
      <c r="AP192" s="21"/>
      <c r="AQ192" s="21"/>
      <c r="AR192" s="21"/>
      <c r="AS192" s="21"/>
      <c r="AT192" s="21"/>
      <c r="AU192" s="21"/>
      <c r="AV192" s="21"/>
      <c r="AW192" s="21"/>
    </row>
    <row r="193" spans="2:49" x14ac:dyDescent="0.15">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row>
    <row r="194" spans="2:49" x14ac:dyDescent="0.15">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c r="AC194" s="21"/>
      <c r="AD194" s="21"/>
      <c r="AE194" s="21"/>
      <c r="AF194" s="21"/>
      <c r="AG194" s="21"/>
      <c r="AH194" s="21"/>
      <c r="AI194" s="21"/>
      <c r="AJ194" s="21"/>
      <c r="AK194" s="21"/>
      <c r="AL194" s="21"/>
      <c r="AM194" s="21"/>
      <c r="AN194" s="21"/>
      <c r="AO194" s="21"/>
      <c r="AP194" s="21"/>
      <c r="AQ194" s="21"/>
      <c r="AR194" s="21"/>
      <c r="AS194" s="21"/>
      <c r="AT194" s="21"/>
      <c r="AU194" s="21"/>
      <c r="AV194" s="21"/>
      <c r="AW194" s="21"/>
    </row>
    <row r="195" spans="2:49" x14ac:dyDescent="0.15">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c r="AK195" s="21"/>
      <c r="AL195" s="21"/>
      <c r="AM195" s="21"/>
      <c r="AN195" s="21"/>
      <c r="AO195" s="21"/>
      <c r="AP195" s="21"/>
      <c r="AQ195" s="21"/>
      <c r="AR195" s="21"/>
      <c r="AS195" s="21"/>
      <c r="AT195" s="21"/>
      <c r="AU195" s="21"/>
      <c r="AV195" s="21"/>
      <c r="AW195" s="21"/>
    </row>
    <row r="196" spans="2:49" x14ac:dyDescent="0.15">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c r="AK196" s="21"/>
      <c r="AL196" s="21"/>
      <c r="AM196" s="21"/>
      <c r="AN196" s="21"/>
      <c r="AO196" s="21"/>
      <c r="AP196" s="21"/>
      <c r="AQ196" s="21"/>
      <c r="AR196" s="21"/>
      <c r="AS196" s="21"/>
      <c r="AT196" s="21"/>
      <c r="AU196" s="21"/>
      <c r="AV196" s="21"/>
      <c r="AW196" s="21"/>
    </row>
    <row r="197" spans="2:49" x14ac:dyDescent="0.15">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c r="AM197" s="21"/>
      <c r="AN197" s="21"/>
      <c r="AO197" s="21"/>
      <c r="AP197" s="21"/>
      <c r="AQ197" s="21"/>
      <c r="AR197" s="21"/>
      <c r="AS197" s="21"/>
      <c r="AT197" s="21"/>
      <c r="AU197" s="21"/>
      <c r="AV197" s="21"/>
      <c r="AW197" s="21"/>
    </row>
    <row r="198" spans="2:49" x14ac:dyDescent="0.15">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c r="AL198" s="21"/>
      <c r="AM198" s="21"/>
      <c r="AN198" s="21"/>
      <c r="AO198" s="21"/>
      <c r="AP198" s="21"/>
      <c r="AQ198" s="21"/>
      <c r="AR198" s="21"/>
      <c r="AS198" s="21"/>
      <c r="AT198" s="21"/>
      <c r="AU198" s="21"/>
      <c r="AV198" s="21"/>
      <c r="AW198" s="21"/>
    </row>
    <row r="199" spans="2:49" x14ac:dyDescent="0.15">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c r="AL199" s="21"/>
      <c r="AM199" s="21"/>
      <c r="AN199" s="21"/>
      <c r="AO199" s="21"/>
      <c r="AP199" s="21"/>
      <c r="AQ199" s="21"/>
      <c r="AR199" s="21"/>
      <c r="AS199" s="21"/>
      <c r="AT199" s="21"/>
      <c r="AU199" s="21"/>
      <c r="AV199" s="21"/>
      <c r="AW199" s="21"/>
    </row>
    <row r="200" spans="2:49" x14ac:dyDescent="0.15">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c r="AN200" s="21"/>
      <c r="AO200" s="21"/>
      <c r="AP200" s="21"/>
      <c r="AQ200" s="21"/>
      <c r="AR200" s="21"/>
      <c r="AS200" s="21"/>
      <c r="AT200" s="21"/>
      <c r="AU200" s="21"/>
      <c r="AV200" s="21"/>
      <c r="AW200" s="21"/>
    </row>
    <row r="201" spans="2:49" x14ac:dyDescent="0.15">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c r="AL201" s="21"/>
      <c r="AM201" s="21"/>
      <c r="AN201" s="21"/>
      <c r="AO201" s="21"/>
      <c r="AP201" s="21"/>
      <c r="AQ201" s="21"/>
      <c r="AR201" s="21"/>
      <c r="AS201" s="21"/>
      <c r="AT201" s="21"/>
      <c r="AU201" s="21"/>
      <c r="AV201" s="21"/>
      <c r="AW201" s="21"/>
    </row>
    <row r="202" spans="2:49" x14ac:dyDescent="0.15">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c r="AL202" s="21"/>
      <c r="AM202" s="21"/>
      <c r="AN202" s="21"/>
      <c r="AO202" s="21"/>
      <c r="AP202" s="21"/>
      <c r="AQ202" s="21"/>
      <c r="AR202" s="21"/>
      <c r="AS202" s="21"/>
      <c r="AT202" s="21"/>
      <c r="AU202" s="21"/>
      <c r="AV202" s="21"/>
      <c r="AW202" s="21"/>
    </row>
    <row r="203" spans="2:49" x14ac:dyDescent="0.15">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c r="AL203" s="21"/>
      <c r="AM203" s="21"/>
      <c r="AN203" s="21"/>
      <c r="AO203" s="21"/>
      <c r="AP203" s="21"/>
      <c r="AQ203" s="21"/>
      <c r="AR203" s="21"/>
      <c r="AS203" s="21"/>
      <c r="AT203" s="21"/>
      <c r="AU203" s="21"/>
      <c r="AV203" s="21"/>
      <c r="AW203" s="21"/>
    </row>
    <row r="204" spans="2:49" x14ac:dyDescent="0.15">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c r="AL204" s="21"/>
      <c r="AM204" s="21"/>
      <c r="AN204" s="21"/>
      <c r="AO204" s="21"/>
      <c r="AP204" s="21"/>
      <c r="AQ204" s="21"/>
      <c r="AR204" s="21"/>
      <c r="AS204" s="21"/>
      <c r="AT204" s="21"/>
      <c r="AU204" s="21"/>
      <c r="AV204" s="21"/>
      <c r="AW204" s="21"/>
    </row>
    <row r="205" spans="2:49" x14ac:dyDescent="0.15">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c r="AL205" s="21"/>
      <c r="AM205" s="21"/>
      <c r="AN205" s="21"/>
      <c r="AO205" s="21"/>
      <c r="AP205" s="21"/>
      <c r="AQ205" s="21"/>
      <c r="AR205" s="21"/>
      <c r="AS205" s="21"/>
      <c r="AT205" s="21"/>
      <c r="AU205" s="21"/>
      <c r="AV205" s="21"/>
      <c r="AW205" s="21"/>
    </row>
    <row r="206" spans="2:49" x14ac:dyDescent="0.15">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c r="AK206" s="21"/>
      <c r="AL206" s="21"/>
      <c r="AM206" s="21"/>
      <c r="AN206" s="21"/>
      <c r="AO206" s="21"/>
      <c r="AP206" s="21"/>
      <c r="AQ206" s="21"/>
      <c r="AR206" s="21"/>
      <c r="AS206" s="21"/>
      <c r="AT206" s="21"/>
      <c r="AU206" s="21"/>
      <c r="AV206" s="21"/>
      <c r="AW206" s="21"/>
    </row>
    <row r="207" spans="2:49" x14ac:dyDescent="0.15">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c r="AK207" s="21"/>
      <c r="AL207" s="21"/>
      <c r="AM207" s="21"/>
      <c r="AN207" s="21"/>
      <c r="AO207" s="21"/>
      <c r="AP207" s="21"/>
      <c r="AQ207" s="21"/>
      <c r="AR207" s="21"/>
      <c r="AS207" s="21"/>
      <c r="AT207" s="21"/>
      <c r="AU207" s="21"/>
      <c r="AV207" s="21"/>
      <c r="AW207" s="21"/>
    </row>
    <row r="208" spans="2:49" x14ac:dyDescent="0.15">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c r="AK208" s="21"/>
      <c r="AL208" s="21"/>
      <c r="AM208" s="21"/>
      <c r="AN208" s="21"/>
      <c r="AO208" s="21"/>
      <c r="AP208" s="21"/>
      <c r="AQ208" s="21"/>
      <c r="AR208" s="21"/>
      <c r="AS208" s="21"/>
      <c r="AT208" s="21"/>
      <c r="AU208" s="21"/>
      <c r="AV208" s="21"/>
      <c r="AW208" s="21"/>
    </row>
    <row r="209" spans="2:49" x14ac:dyDescent="0.15">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c r="AL209" s="21"/>
      <c r="AM209" s="21"/>
      <c r="AN209" s="21"/>
      <c r="AO209" s="21"/>
      <c r="AP209" s="21"/>
      <c r="AQ209" s="21"/>
      <c r="AR209" s="21"/>
      <c r="AS209" s="21"/>
      <c r="AT209" s="21"/>
      <c r="AU209" s="21"/>
      <c r="AV209" s="21"/>
      <c r="AW209" s="21"/>
    </row>
    <row r="210" spans="2:49" x14ac:dyDescent="0.15">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c r="AM210" s="21"/>
      <c r="AN210" s="21"/>
      <c r="AO210" s="21"/>
      <c r="AP210" s="21"/>
      <c r="AQ210" s="21"/>
      <c r="AR210" s="21"/>
      <c r="AS210" s="21"/>
      <c r="AT210" s="21"/>
      <c r="AU210" s="21"/>
      <c r="AV210" s="21"/>
      <c r="AW210" s="21"/>
    </row>
    <row r="211" spans="2:49" x14ac:dyDescent="0.15">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c r="AK211" s="21"/>
      <c r="AL211" s="21"/>
      <c r="AM211" s="21"/>
      <c r="AN211" s="21"/>
      <c r="AO211" s="21"/>
      <c r="AP211" s="21"/>
      <c r="AQ211" s="21"/>
      <c r="AR211" s="21"/>
      <c r="AS211" s="21"/>
      <c r="AT211" s="21"/>
      <c r="AU211" s="21"/>
      <c r="AV211" s="21"/>
      <c r="AW211" s="21"/>
    </row>
    <row r="212" spans="2:49" x14ac:dyDescent="0.15">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c r="AC212" s="21"/>
      <c r="AD212" s="21"/>
      <c r="AE212" s="21"/>
      <c r="AF212" s="21"/>
      <c r="AG212" s="21"/>
      <c r="AH212" s="21"/>
      <c r="AI212" s="21"/>
      <c r="AJ212" s="21"/>
      <c r="AK212" s="21"/>
      <c r="AL212" s="21"/>
      <c r="AM212" s="21"/>
      <c r="AN212" s="21"/>
      <c r="AO212" s="21"/>
      <c r="AP212" s="21"/>
      <c r="AQ212" s="21"/>
      <c r="AR212" s="21"/>
      <c r="AS212" s="21"/>
      <c r="AT212" s="21"/>
      <c r="AU212" s="21"/>
      <c r="AV212" s="21"/>
      <c r="AW212" s="21"/>
    </row>
    <row r="213" spans="2:49" x14ac:dyDescent="0.15">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c r="AL213" s="21"/>
      <c r="AM213" s="21"/>
      <c r="AN213" s="21"/>
      <c r="AO213" s="21"/>
      <c r="AP213" s="21"/>
      <c r="AQ213" s="21"/>
      <c r="AR213" s="21"/>
      <c r="AS213" s="21"/>
      <c r="AT213" s="21"/>
      <c r="AU213" s="21"/>
      <c r="AV213" s="21"/>
      <c r="AW213" s="21"/>
    </row>
    <row r="214" spans="2:49" x14ac:dyDescent="0.15">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c r="AC214" s="21"/>
      <c r="AD214" s="21"/>
      <c r="AE214" s="21"/>
      <c r="AF214" s="21"/>
      <c r="AG214" s="21"/>
      <c r="AH214" s="21"/>
      <c r="AI214" s="21"/>
      <c r="AJ214" s="21"/>
      <c r="AK214" s="21"/>
      <c r="AL214" s="21"/>
      <c r="AM214" s="21"/>
      <c r="AN214" s="21"/>
      <c r="AO214" s="21"/>
      <c r="AP214" s="21"/>
      <c r="AQ214" s="21"/>
      <c r="AR214" s="21"/>
      <c r="AS214" s="21"/>
      <c r="AT214" s="21"/>
      <c r="AU214" s="21"/>
      <c r="AV214" s="21"/>
      <c r="AW214" s="21"/>
    </row>
    <row r="215" spans="2:49" x14ac:dyDescent="0.15">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c r="AC215" s="21"/>
      <c r="AD215" s="21"/>
      <c r="AE215" s="21"/>
      <c r="AF215" s="21"/>
      <c r="AG215" s="21"/>
      <c r="AH215" s="21"/>
      <c r="AI215" s="21"/>
      <c r="AJ215" s="21"/>
      <c r="AK215" s="21"/>
      <c r="AL215" s="21"/>
      <c r="AM215" s="21"/>
      <c r="AN215" s="21"/>
      <c r="AO215" s="21"/>
      <c r="AP215" s="21"/>
      <c r="AQ215" s="21"/>
      <c r="AR215" s="21"/>
      <c r="AS215" s="21"/>
      <c r="AT215" s="21"/>
      <c r="AU215" s="21"/>
      <c r="AV215" s="21"/>
      <c r="AW215" s="21"/>
    </row>
    <row r="216" spans="2:49" x14ac:dyDescent="0.15">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c r="AK216" s="21"/>
      <c r="AL216" s="21"/>
      <c r="AM216" s="21"/>
      <c r="AN216" s="21"/>
      <c r="AO216" s="21"/>
      <c r="AP216" s="21"/>
      <c r="AQ216" s="21"/>
      <c r="AR216" s="21"/>
      <c r="AS216" s="21"/>
      <c r="AT216" s="21"/>
      <c r="AU216" s="21"/>
      <c r="AV216" s="21"/>
      <c r="AW216" s="21"/>
    </row>
    <row r="217" spans="2:49" x14ac:dyDescent="0.15">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c r="AL217" s="21"/>
      <c r="AM217" s="21"/>
      <c r="AN217" s="21"/>
      <c r="AO217" s="21"/>
      <c r="AP217" s="21"/>
      <c r="AQ217" s="21"/>
      <c r="AR217" s="21"/>
      <c r="AS217" s="21"/>
      <c r="AT217" s="21"/>
      <c r="AU217" s="21"/>
      <c r="AV217" s="21"/>
      <c r="AW217" s="21"/>
    </row>
    <row r="218" spans="2:49" x14ac:dyDescent="0.15">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c r="AC218" s="21"/>
      <c r="AD218" s="21"/>
      <c r="AE218" s="21"/>
      <c r="AF218" s="21"/>
      <c r="AG218" s="21"/>
      <c r="AH218" s="21"/>
      <c r="AI218" s="21"/>
      <c r="AJ218" s="21"/>
      <c r="AK218" s="21"/>
      <c r="AL218" s="21"/>
      <c r="AM218" s="21"/>
      <c r="AN218" s="21"/>
      <c r="AO218" s="21"/>
      <c r="AP218" s="21"/>
      <c r="AQ218" s="21"/>
      <c r="AR218" s="21"/>
      <c r="AS218" s="21"/>
      <c r="AT218" s="21"/>
      <c r="AU218" s="21"/>
      <c r="AV218" s="21"/>
      <c r="AW218" s="21"/>
    </row>
    <row r="219" spans="2:49" x14ac:dyDescent="0.15">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c r="AC219" s="21"/>
      <c r="AD219" s="21"/>
      <c r="AE219" s="21"/>
      <c r="AF219" s="21"/>
      <c r="AG219" s="21"/>
      <c r="AH219" s="21"/>
      <c r="AI219" s="21"/>
      <c r="AJ219" s="21"/>
      <c r="AK219" s="21"/>
      <c r="AL219" s="21"/>
      <c r="AM219" s="21"/>
      <c r="AN219" s="21"/>
      <c r="AO219" s="21"/>
      <c r="AP219" s="21"/>
      <c r="AQ219" s="21"/>
      <c r="AR219" s="21"/>
      <c r="AS219" s="21"/>
      <c r="AT219" s="21"/>
      <c r="AU219" s="21"/>
      <c r="AV219" s="21"/>
      <c r="AW219" s="21"/>
    </row>
    <row r="220" spans="2:49" x14ac:dyDescent="0.15">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c r="AC220" s="21"/>
      <c r="AD220" s="21"/>
      <c r="AE220" s="21"/>
      <c r="AF220" s="21"/>
      <c r="AG220" s="21"/>
      <c r="AH220" s="21"/>
      <c r="AI220" s="21"/>
      <c r="AJ220" s="21"/>
      <c r="AK220" s="21"/>
      <c r="AL220" s="21"/>
      <c r="AM220" s="21"/>
      <c r="AN220" s="21"/>
      <c r="AO220" s="21"/>
      <c r="AP220" s="21"/>
      <c r="AQ220" s="21"/>
      <c r="AR220" s="21"/>
      <c r="AS220" s="21"/>
      <c r="AT220" s="21"/>
      <c r="AU220" s="21"/>
      <c r="AV220" s="21"/>
      <c r="AW220" s="21"/>
    </row>
    <row r="221" spans="2:49" x14ac:dyDescent="0.15">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c r="AC221" s="21"/>
      <c r="AD221" s="21"/>
      <c r="AE221" s="21"/>
      <c r="AF221" s="21"/>
      <c r="AG221" s="21"/>
      <c r="AH221" s="21"/>
      <c r="AI221" s="21"/>
      <c r="AJ221" s="21"/>
      <c r="AK221" s="21"/>
      <c r="AL221" s="21"/>
      <c r="AM221" s="21"/>
      <c r="AN221" s="21"/>
      <c r="AO221" s="21"/>
      <c r="AP221" s="21"/>
      <c r="AQ221" s="21"/>
      <c r="AR221" s="21"/>
      <c r="AS221" s="21"/>
      <c r="AT221" s="21"/>
      <c r="AU221" s="21"/>
      <c r="AV221" s="21"/>
      <c r="AW221" s="21"/>
    </row>
    <row r="222" spans="2:49" x14ac:dyDescent="0.15">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c r="AC222" s="21"/>
      <c r="AD222" s="21"/>
      <c r="AE222" s="21"/>
      <c r="AF222" s="21"/>
      <c r="AG222" s="21"/>
      <c r="AH222" s="21"/>
      <c r="AI222" s="21"/>
      <c r="AJ222" s="21"/>
      <c r="AK222" s="21"/>
      <c r="AL222" s="21"/>
      <c r="AM222" s="21"/>
      <c r="AN222" s="21"/>
      <c r="AO222" s="21"/>
      <c r="AP222" s="21"/>
      <c r="AQ222" s="21"/>
      <c r="AR222" s="21"/>
      <c r="AS222" s="21"/>
      <c r="AT222" s="21"/>
      <c r="AU222" s="21"/>
      <c r="AV222" s="21"/>
      <c r="AW222" s="21"/>
    </row>
    <row r="223" spans="2:49" x14ac:dyDescent="0.15">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c r="AK223" s="21"/>
      <c r="AL223" s="21"/>
      <c r="AM223" s="21"/>
      <c r="AN223" s="21"/>
      <c r="AO223" s="21"/>
      <c r="AP223" s="21"/>
      <c r="AQ223" s="21"/>
      <c r="AR223" s="21"/>
      <c r="AS223" s="21"/>
      <c r="AT223" s="21"/>
      <c r="AU223" s="21"/>
      <c r="AV223" s="21"/>
      <c r="AW223" s="21"/>
    </row>
    <row r="224" spans="2:49" x14ac:dyDescent="0.15">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c r="AC224" s="21"/>
      <c r="AD224" s="21"/>
      <c r="AE224" s="21"/>
      <c r="AF224" s="21"/>
      <c r="AG224" s="21"/>
      <c r="AH224" s="21"/>
      <c r="AI224" s="21"/>
      <c r="AJ224" s="21"/>
      <c r="AK224" s="21"/>
      <c r="AL224" s="21"/>
      <c r="AM224" s="21"/>
      <c r="AN224" s="21"/>
      <c r="AO224" s="21"/>
      <c r="AP224" s="21"/>
      <c r="AQ224" s="21"/>
      <c r="AR224" s="21"/>
      <c r="AS224" s="21"/>
      <c r="AT224" s="21"/>
      <c r="AU224" s="21"/>
      <c r="AV224" s="21"/>
      <c r="AW224" s="21"/>
    </row>
    <row r="225" spans="2:49" x14ac:dyDescent="0.15">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c r="AC225" s="21"/>
      <c r="AD225" s="21"/>
      <c r="AE225" s="21"/>
      <c r="AF225" s="21"/>
      <c r="AG225" s="21"/>
      <c r="AH225" s="21"/>
      <c r="AI225" s="21"/>
      <c r="AJ225" s="21"/>
      <c r="AK225" s="21"/>
      <c r="AL225" s="21"/>
      <c r="AM225" s="21"/>
      <c r="AN225" s="21"/>
      <c r="AO225" s="21"/>
      <c r="AP225" s="21"/>
      <c r="AQ225" s="21"/>
      <c r="AR225" s="21"/>
      <c r="AS225" s="21"/>
      <c r="AT225" s="21"/>
      <c r="AU225" s="21"/>
      <c r="AV225" s="21"/>
      <c r="AW225" s="21"/>
    </row>
    <row r="226" spans="2:49" x14ac:dyDescent="0.15">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c r="AC226" s="21"/>
      <c r="AD226" s="21"/>
      <c r="AE226" s="21"/>
      <c r="AF226" s="21"/>
      <c r="AG226" s="21"/>
      <c r="AH226" s="21"/>
      <c r="AI226" s="21"/>
      <c r="AJ226" s="21"/>
      <c r="AK226" s="21"/>
      <c r="AL226" s="21"/>
      <c r="AM226" s="21"/>
      <c r="AN226" s="21"/>
      <c r="AO226" s="21"/>
      <c r="AP226" s="21"/>
      <c r="AQ226" s="21"/>
      <c r="AR226" s="21"/>
      <c r="AS226" s="21"/>
      <c r="AT226" s="21"/>
      <c r="AU226" s="21"/>
      <c r="AV226" s="21"/>
      <c r="AW226" s="21"/>
    </row>
    <row r="227" spans="2:49" x14ac:dyDescent="0.15">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c r="AE227" s="21"/>
      <c r="AF227" s="21"/>
      <c r="AG227" s="21"/>
      <c r="AH227" s="21"/>
      <c r="AI227" s="21"/>
      <c r="AJ227" s="21"/>
      <c r="AK227" s="21"/>
      <c r="AL227" s="21"/>
      <c r="AM227" s="21"/>
      <c r="AN227" s="21"/>
      <c r="AO227" s="21"/>
      <c r="AP227" s="21"/>
      <c r="AQ227" s="21"/>
      <c r="AR227" s="21"/>
      <c r="AS227" s="21"/>
      <c r="AT227" s="21"/>
      <c r="AU227" s="21"/>
      <c r="AV227" s="21"/>
      <c r="AW227" s="21"/>
    </row>
    <row r="228" spans="2:49" x14ac:dyDescent="0.15">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c r="AC228" s="21"/>
      <c r="AD228" s="21"/>
      <c r="AE228" s="21"/>
      <c r="AF228" s="21"/>
      <c r="AG228" s="21"/>
      <c r="AH228" s="21"/>
      <c r="AI228" s="21"/>
      <c r="AJ228" s="21"/>
      <c r="AK228" s="21"/>
      <c r="AL228" s="21"/>
      <c r="AM228" s="21"/>
      <c r="AN228" s="21"/>
      <c r="AO228" s="21"/>
      <c r="AP228" s="21"/>
      <c r="AQ228" s="21"/>
      <c r="AR228" s="21"/>
      <c r="AS228" s="21"/>
      <c r="AT228" s="21"/>
      <c r="AU228" s="21"/>
      <c r="AV228" s="21"/>
      <c r="AW228" s="21"/>
    </row>
    <row r="229" spans="2:49" x14ac:dyDescent="0.15">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c r="AC229" s="21"/>
      <c r="AD229" s="21"/>
      <c r="AE229" s="21"/>
      <c r="AF229" s="21"/>
      <c r="AG229" s="21"/>
      <c r="AH229" s="21"/>
      <c r="AI229" s="21"/>
      <c r="AJ229" s="21"/>
      <c r="AK229" s="21"/>
      <c r="AL229" s="21"/>
      <c r="AM229" s="21"/>
      <c r="AN229" s="21"/>
      <c r="AO229" s="21"/>
      <c r="AP229" s="21"/>
      <c r="AQ229" s="21"/>
      <c r="AR229" s="21"/>
      <c r="AS229" s="21"/>
      <c r="AT229" s="21"/>
      <c r="AU229" s="21"/>
      <c r="AV229" s="21"/>
      <c r="AW229" s="21"/>
    </row>
    <row r="230" spans="2:49" x14ac:dyDescent="0.15">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c r="AC230" s="21"/>
      <c r="AD230" s="21"/>
      <c r="AE230" s="21"/>
      <c r="AF230" s="21"/>
      <c r="AG230" s="21"/>
      <c r="AH230" s="21"/>
      <c r="AI230" s="21"/>
      <c r="AJ230" s="21"/>
      <c r="AK230" s="21"/>
      <c r="AL230" s="21"/>
      <c r="AM230" s="21"/>
      <c r="AN230" s="21"/>
      <c r="AO230" s="21"/>
      <c r="AP230" s="21"/>
      <c r="AQ230" s="21"/>
      <c r="AR230" s="21"/>
      <c r="AS230" s="21"/>
      <c r="AT230" s="21"/>
      <c r="AU230" s="21"/>
      <c r="AV230" s="21"/>
      <c r="AW230" s="21"/>
    </row>
  </sheetData>
  <mergeCells count="14">
    <mergeCell ref="B2:B3"/>
    <mergeCell ref="C2:L2"/>
    <mergeCell ref="C3:D3"/>
    <mergeCell ref="E3:F3"/>
    <mergeCell ref="G3:H3"/>
    <mergeCell ref="I3:J3"/>
    <mergeCell ref="K3:L3"/>
    <mergeCell ref="B18:B19"/>
    <mergeCell ref="C18:L18"/>
    <mergeCell ref="C19:D19"/>
    <mergeCell ref="E19:F19"/>
    <mergeCell ref="G19:H19"/>
    <mergeCell ref="I19:J19"/>
    <mergeCell ref="K19:L19"/>
  </mergeCells>
  <phoneticPr fontId="2"/>
  <printOptions horizontalCentered="1"/>
  <pageMargins left="0.70866141732283472" right="0.70866141732283472" top="0.74803149606299213" bottom="0.74803149606299213" header="0.31496062992125984" footer="0.31496062992125984"/>
  <pageSetup paperSize="9" scale="9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Button 1">
              <controlPr defaultSize="0" print="0" autoFill="0" autoPict="0" macro="[0]!データ削除_年齢階層在院期間区分F2">
                <anchor moveWithCells="1" sizeWithCells="1">
                  <from>
                    <xdr:col>51</xdr:col>
                    <xdr:colOff>200025</xdr:colOff>
                    <xdr:row>1</xdr:row>
                    <xdr:rowOff>180975</xdr:rowOff>
                  </from>
                  <to>
                    <xdr:col>53</xdr:col>
                    <xdr:colOff>581025</xdr:colOff>
                    <xdr:row>3</xdr:row>
                    <xdr:rowOff>219075</xdr:rowOff>
                  </to>
                </anchor>
              </controlPr>
            </control>
          </mc:Choice>
        </mc:AlternateContent>
      </controls>
    </mc:Choice>
  </mc:AlternateContent>
  <tableParts count="4">
    <tablePart r:id="rId5"/>
    <tablePart r:id="rId6"/>
    <tablePart r:id="rId7"/>
    <tablePart r:id="rId8"/>
  </tablePart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tabColor rgb="FFFF0000"/>
    <pageSetUpPr fitToPage="1"/>
  </sheetPr>
  <dimension ref="B1:BA230"/>
  <sheetViews>
    <sheetView showGridLines="0" view="pageBreakPreview" topLeftCell="D1" zoomScale="80" zoomScaleNormal="100" zoomScaleSheetLayoutView="80" workbookViewId="0">
      <selection activeCell="O1" sqref="O1:BC1048576"/>
    </sheetView>
  </sheetViews>
  <sheetFormatPr defaultRowHeight="18.75" x14ac:dyDescent="0.15"/>
  <cols>
    <col min="1" max="1" width="4" style="1" customWidth="1"/>
    <col min="2" max="2" width="12.5" style="1" customWidth="1"/>
    <col min="3" max="12" width="8.75" style="1" customWidth="1"/>
    <col min="13" max="13" width="16.5" style="1" customWidth="1"/>
    <col min="14" max="14" width="2.5" style="1" customWidth="1"/>
    <col min="15" max="15" width="17.75" style="1" hidden="1" customWidth="1"/>
    <col min="16" max="31" width="11.125" style="1" hidden="1" customWidth="1"/>
    <col min="32" max="53" width="9" style="1" hidden="1" customWidth="1"/>
    <col min="54" max="55" width="0" style="1" hidden="1" customWidth="1"/>
    <col min="56" max="16384" width="9" style="1"/>
  </cols>
  <sheetData>
    <row r="1" spans="2:53" ht="19.5" customHeight="1" x14ac:dyDescent="0.15">
      <c r="B1" s="2" t="s">
        <v>163</v>
      </c>
    </row>
    <row r="2" spans="2:53" ht="18.75" customHeight="1" thickBot="1" x14ac:dyDescent="0.2">
      <c r="B2" s="961" t="s">
        <v>65</v>
      </c>
      <c r="C2" s="963" t="s">
        <v>64</v>
      </c>
      <c r="D2" s="964"/>
      <c r="E2" s="964"/>
      <c r="F2" s="964"/>
      <c r="G2" s="964"/>
      <c r="H2" s="964"/>
      <c r="I2" s="964"/>
      <c r="J2" s="964"/>
      <c r="K2" s="964"/>
      <c r="L2" s="965"/>
      <c r="O2" s="33" t="s">
        <v>63</v>
      </c>
    </row>
    <row r="3" spans="2:53" ht="18.75" customHeight="1" thickTop="1" thickBot="1" x14ac:dyDescent="0.2">
      <c r="B3" s="962"/>
      <c r="C3" s="966" t="s">
        <v>69</v>
      </c>
      <c r="D3" s="967"/>
      <c r="E3" s="966" t="s">
        <v>70</v>
      </c>
      <c r="F3" s="967"/>
      <c r="G3" s="966" t="s">
        <v>71</v>
      </c>
      <c r="H3" s="967"/>
      <c r="I3" s="966" t="s">
        <v>72</v>
      </c>
      <c r="J3" s="967"/>
      <c r="K3" s="966" t="s">
        <v>62</v>
      </c>
      <c r="L3" s="967"/>
      <c r="O3" s="425" t="s">
        <v>373</v>
      </c>
      <c r="P3" s="489" t="s">
        <v>182</v>
      </c>
      <c r="Q3" s="489" t="s">
        <v>183</v>
      </c>
      <c r="R3" s="489" t="s">
        <v>184</v>
      </c>
      <c r="S3" s="489" t="s">
        <v>185</v>
      </c>
      <c r="T3" s="489" t="s">
        <v>186</v>
      </c>
      <c r="U3" s="489" t="s">
        <v>187</v>
      </c>
      <c r="V3" s="489" t="s">
        <v>188</v>
      </c>
      <c r="W3" s="489" t="s">
        <v>189</v>
      </c>
      <c r="X3" s="489" t="s">
        <v>190</v>
      </c>
      <c r="Y3" s="489" t="s">
        <v>191</v>
      </c>
      <c r="Z3" s="489" t="s">
        <v>192</v>
      </c>
      <c r="AA3" s="489" t="s">
        <v>193</v>
      </c>
      <c r="AB3" s="489" t="s">
        <v>194</v>
      </c>
      <c r="AC3" s="489" t="s">
        <v>195</v>
      </c>
      <c r="AD3" s="489" t="s">
        <v>196</v>
      </c>
      <c r="AE3" s="55" t="s">
        <v>197</v>
      </c>
      <c r="AL3" s="473" t="s">
        <v>182</v>
      </c>
      <c r="AM3" s="474" t="s">
        <v>183</v>
      </c>
      <c r="AN3" s="474" t="s">
        <v>184</v>
      </c>
      <c r="AO3" s="474" t="s">
        <v>185</v>
      </c>
      <c r="AP3" s="474" t="s">
        <v>186</v>
      </c>
      <c r="AQ3" s="474" t="s">
        <v>187</v>
      </c>
      <c r="AR3" s="474" t="s">
        <v>188</v>
      </c>
      <c r="AS3" s="474" t="s">
        <v>189</v>
      </c>
      <c r="AT3" s="474" t="s">
        <v>190</v>
      </c>
      <c r="AU3" s="474" t="s">
        <v>191</v>
      </c>
      <c r="AV3" s="474" t="s">
        <v>192</v>
      </c>
      <c r="AW3" s="474" t="s">
        <v>193</v>
      </c>
      <c r="AX3" s="474" t="s">
        <v>194</v>
      </c>
      <c r="AY3" s="474" t="s">
        <v>195</v>
      </c>
      <c r="AZ3" s="474" t="s">
        <v>196</v>
      </c>
      <c r="BA3" s="473" t="s">
        <v>197</v>
      </c>
    </row>
    <row r="4" spans="2:53" s="21" customFormat="1" ht="18.75" customHeight="1" thickTop="1" x14ac:dyDescent="0.15">
      <c r="B4" s="225" t="s">
        <v>2</v>
      </c>
      <c r="C4" s="226">
        <f>IFERROR(INDEX(年齢階層×在院期間区分F00F01[#All],MATCH($AK4,年齢階層×在院期間区分F00F01[[#All],[行ラベル]],0),MATCH($AL$3,年齢階層×在院期間区分F00F01[#Headers],0)),0)+IFERROR(INDEX(年齢階層×在院期間区分F00F01[#All],MATCH($AK4,年齢階層×在院期間区分F00F01[[#All],[行ラベル]],0),MATCH($AM$3,年齢階層×在院期間区分F00F01[#Headers],0)),0)+IFERROR(INDEX(年齢階層×在院期間区分F00F01[#All],MATCH($AK4,年齢階層×在院期間区分F00F01[[#All],[行ラベル]],0),MATCH($AN$3,年齢階層×在院期間区分F00F01[#Headers],0)),0)+IFERROR(INDEX(年齢階層×在院期間区分F00F01[#All],MATCH($AK4,年齢階層×在院期間区分F00F01[[#All],[行ラベル]],0),MATCH($AO$3,年齢階層×在院期間区分F00F01[#Headers],0)),0)</f>
        <v>0</v>
      </c>
      <c r="D4" s="221">
        <f t="shared" ref="D4:D12" si="0">IFERROR(C4/$C$13,"-")</f>
        <v>0</v>
      </c>
      <c r="E4" s="226">
        <f>IFERROR(INDEX(年齢階層×在院期間区分F00F01[#All],MATCH($AK4,年齢階層×在院期間区分F00F01[[#All],[行ラベル]],0),MATCH($AP$3,年齢階層×在院期間区分F00F01[#Headers],0)),0)+IFERROR(INDEX(年齢階層×在院期間区分F00F01[#All],MATCH($AK4,年齢階層×在院期間区分F00F01[[#All],[行ラベル]],0),MATCH($AQ$3,年齢階層×在院期間区分F00F01[#Headers],0)),0)+IFERROR(INDEX(年齢階層×在院期間区分F00F01[#All],MATCH($AK4,年齢階層×在院期間区分F00F01[[#All],[行ラベル]],0),MATCH($AR$3,年齢階層×在院期間区分F00F01[#Headers],0)),0)+IFERROR(INDEX(年齢階層×在院期間区分F00F01[#All],MATCH($AK4,年齢階層×在院期間区分F00F01[[#All],[行ラベル]],0),MATCH($AS$3,年齢階層×在院期間区分F00F01[#Headers],0)),0)+IFERROR(INDEX(年齢階層×在院期間区分F00F01[#All],MATCH($AK4,年齢階層×在院期間区分F00F01[[#All],[行ラベル]],0),MATCH($AT$3,年齢階層×在院期間区分F00F01[#Headers],0)),0)</f>
        <v>0</v>
      </c>
      <c r="F4" s="221">
        <f t="shared" ref="F4:F12" si="1">IFERROR(E4/$E$13,"-")</f>
        <v>0</v>
      </c>
      <c r="G4" s="226">
        <f>IFERROR(INDEX(年齢階層×在院期間区分F00F01[#All],MATCH($AK4,年齢階層×在院期間区分F00F01[[#All],[行ラベル]],0),MATCH($AU$3,年齢階層×在院期間区分F00F01[#Headers],0)),0)+IFERROR(INDEX(年齢階層×在院期間区分F00F01[#All],MATCH($AK4,年齢階層×在院期間区分F00F01[[#All],[行ラベル]],0),MATCH($AV$3,年齢階層×在院期間区分F00F01[#Headers],0)),0)+IFERROR(INDEX(年齢階層×在院期間区分F00F01[#All],MATCH($AK4,年齢階層×在院期間区分F00F01[[#All],[行ラベル]],0),MATCH($AW$3,年齢階層×在院期間区分F00F01[#Headers],0)),0)+IFERROR(INDEX(年齢階層×在院期間区分F00F01[#All],MATCH($AK4,年齢階層×在院期間区分F00F01[[#All],[行ラベル]],0),MATCH($AX$3,年齢階層×在院期間区分F00F01[#Headers],0)),0)+IFERROR(INDEX(年齢階層×在院期間区分F00F01[#All],MATCH($AK4,年齢階層×在院期間区分F00F01[[#All],[行ラベル]],0),MATCH($AY$3,年齢階層×在院期間区分F00F01[#Headers],0)),0)</f>
        <v>0</v>
      </c>
      <c r="H4" s="221">
        <f t="shared" ref="H4:H12" si="2">IFERROR(G4/$G$13,"-")</f>
        <v>0</v>
      </c>
      <c r="I4" s="220">
        <f>IFERROR(INDEX(年齢階層×在院期間区分F00F01[#All],MATCH($AK4,年齢階層×在院期間区分F00F01[[#All],[行ラベル]],0),MATCH($AZ$3,年齢階層×在院期間区分F00F01[#Headers],0)),0)+IFERROR(INDEX(年齢階層×在院期間区分F00F01[#All],MATCH($AK4,年齢階層×在院期間区分F00F01[[#All],[行ラベル]],0),MATCH($BA$3,年齢階層×在院期間区分F00F01[#Headers],0)),0)</f>
        <v>0</v>
      </c>
      <c r="J4" s="221">
        <f t="shared" ref="J4:J12" si="3">IFERROR(I4/$I$13,"-")</f>
        <v>0</v>
      </c>
      <c r="K4" s="220">
        <f t="shared" ref="K4:K12" si="4">SUM(C4,E4,G4,I4)</f>
        <v>0</v>
      </c>
      <c r="L4" s="221">
        <f t="shared" ref="L4:L12" si="5">IFERROR(K4/$K$13,"-")</f>
        <v>0</v>
      </c>
      <c r="O4" s="53" t="s">
        <v>2</v>
      </c>
      <c r="P4" s="65">
        <v>0</v>
      </c>
      <c r="Q4" s="65">
        <v>0</v>
      </c>
      <c r="R4" s="65">
        <v>0</v>
      </c>
      <c r="S4" s="65">
        <v>0</v>
      </c>
      <c r="T4" s="65">
        <v>0</v>
      </c>
      <c r="U4" s="65">
        <v>0</v>
      </c>
      <c r="V4" s="65">
        <v>0</v>
      </c>
      <c r="W4" s="65">
        <v>0</v>
      </c>
      <c r="X4" s="65">
        <v>0</v>
      </c>
      <c r="Y4" s="65">
        <v>0</v>
      </c>
      <c r="Z4" s="65">
        <v>0</v>
      </c>
      <c r="AA4" s="65">
        <v>0</v>
      </c>
      <c r="AB4" s="65">
        <v>0</v>
      </c>
      <c r="AC4" s="65">
        <v>0</v>
      </c>
      <c r="AD4" s="65">
        <v>0</v>
      </c>
      <c r="AE4" s="65">
        <v>0</v>
      </c>
      <c r="AK4" s="53" t="s">
        <v>2</v>
      </c>
      <c r="AL4" s="66"/>
      <c r="AO4" s="80"/>
    </row>
    <row r="5" spans="2:53" s="21" customFormat="1" ht="18.75" customHeight="1" x14ac:dyDescent="0.15">
      <c r="B5" s="227" t="s">
        <v>3</v>
      </c>
      <c r="C5" s="228">
        <f>IFERROR(INDEX(年齢階層×在院期間区分F00F01[#All],MATCH($AK5,年齢階層×在院期間区分F00F01[[#All],[行ラベル]],0),MATCH($AL$3,年齢階層×在院期間区分F00F01[#Headers],0)),0)+IFERROR(INDEX(年齢階層×在院期間区分F00F01[#All],MATCH($AK5,年齢階層×在院期間区分F00F01[[#All],[行ラベル]],0),MATCH($AM$3,年齢階層×在院期間区分F00F01[#Headers],0)),0)+IFERROR(INDEX(年齢階層×在院期間区分F00F01[#All],MATCH($AK5,年齢階層×在院期間区分F00F01[[#All],[行ラベル]],0),MATCH($AN$3,年齢階層×在院期間区分F00F01[#Headers],0)),0)+IFERROR(INDEX(年齢階層×在院期間区分F00F01[#All],MATCH($AK5,年齢階層×在院期間区分F00F01[[#All],[行ラベル]],0),MATCH($AO$3,年齢階層×在院期間区分F00F01[#Headers],0)),0)</f>
        <v>0</v>
      </c>
      <c r="D5" s="206">
        <f t="shared" si="0"/>
        <v>0</v>
      </c>
      <c r="E5" s="205">
        <f>IFERROR(INDEX(年齢階層×在院期間区分F00F01[#All],MATCH($AK5,年齢階層×在院期間区分F00F01[[#All],[行ラベル]],0),MATCH($AP$3,年齢階層×在院期間区分F00F01[#Headers],0)),0)+IFERROR(INDEX(年齢階層×在院期間区分F00F01[#All],MATCH($AK5,年齢階層×在院期間区分F00F01[[#All],[行ラベル]],0),MATCH($AQ$3,年齢階層×在院期間区分F00F01[#Headers],0)),0)+IFERROR(INDEX(年齢階層×在院期間区分F00F01[#All],MATCH($AK5,年齢階層×在院期間区分F00F01[[#All],[行ラベル]],0),MATCH($AR$3,年齢階層×在院期間区分F00F01[#Headers],0)),0)+IFERROR(INDEX(年齢階層×在院期間区分F00F01[#All],MATCH($AK5,年齢階層×在院期間区分F00F01[[#All],[行ラベル]],0),MATCH($AS$3,年齢階層×在院期間区分F00F01[#Headers],0)),0)+IFERROR(INDEX(年齢階層×在院期間区分F00F01[#All],MATCH($AK5,年齢階層×在院期間区分F00F01[[#All],[行ラベル]],0),MATCH($AT$3,年齢階層×在院期間区分F00F01[#Headers],0)),0)</f>
        <v>0</v>
      </c>
      <c r="F5" s="206">
        <f t="shared" si="1"/>
        <v>0</v>
      </c>
      <c r="G5" s="228">
        <f>IFERROR(INDEX(年齢階層×在院期間区分F00F01[#All],MATCH($AK5,年齢階層×在院期間区分F00F01[[#All],[行ラベル]],0),MATCH($AU$3,年齢階層×在院期間区分F00F01[#Headers],0)),0)+IFERROR(INDEX(年齢階層×在院期間区分F00F01[#All],MATCH($AK5,年齢階層×在院期間区分F00F01[[#All],[行ラベル]],0),MATCH($AV$3,年齢階層×在院期間区分F00F01[#Headers],0)),0)+IFERROR(INDEX(年齢階層×在院期間区分F00F01[#All],MATCH($AK5,年齢階層×在院期間区分F00F01[[#All],[行ラベル]],0),MATCH($AW$3,年齢階層×在院期間区分F00F01[#Headers],0)),0)+IFERROR(INDEX(年齢階層×在院期間区分F00F01[#All],MATCH($AK5,年齢階層×在院期間区分F00F01[[#All],[行ラベル]],0),MATCH($AX$3,年齢階層×在院期間区分F00F01[#Headers],0)),0)+IFERROR(INDEX(年齢階層×在院期間区分F00F01[#All],MATCH($AK5,年齢階層×在院期間区分F00F01[[#All],[行ラベル]],0),MATCH($AY$3,年齢階層×在院期間区分F00F01[#Headers],0)),0)</f>
        <v>0</v>
      </c>
      <c r="H5" s="206">
        <f t="shared" si="2"/>
        <v>0</v>
      </c>
      <c r="I5" s="229">
        <f>IFERROR(INDEX(年齢階層×在院期間区分F00F01[#All],MATCH($AK5,年齢階層×在院期間区分F00F01[[#All],[行ラベル]],0),MATCH($AZ$3,年齢階層×在院期間区分F00F01[#Headers],0)),0)+IFERROR(INDEX(年齢階層×在院期間区分F00F01[#All],MATCH($AK5,年齢階層×在院期間区分F00F01[[#All],[行ラベル]],0),MATCH($BA$3,年齢階層×在院期間区分F00F01[#Headers],0)),0)</f>
        <v>0</v>
      </c>
      <c r="J5" s="206">
        <f t="shared" si="3"/>
        <v>0</v>
      </c>
      <c r="K5" s="205">
        <f t="shared" si="4"/>
        <v>0</v>
      </c>
      <c r="L5" s="206">
        <f t="shared" si="5"/>
        <v>0</v>
      </c>
      <c r="O5" s="53" t="s">
        <v>3</v>
      </c>
      <c r="P5" s="65">
        <v>0</v>
      </c>
      <c r="Q5" s="65">
        <v>0</v>
      </c>
      <c r="R5" s="65">
        <v>0</v>
      </c>
      <c r="S5" s="65">
        <v>0</v>
      </c>
      <c r="T5" s="65">
        <v>0</v>
      </c>
      <c r="U5" s="65">
        <v>0</v>
      </c>
      <c r="V5" s="65">
        <v>0</v>
      </c>
      <c r="W5" s="65">
        <v>0</v>
      </c>
      <c r="X5" s="65">
        <v>0</v>
      </c>
      <c r="Y5" s="65">
        <v>0</v>
      </c>
      <c r="Z5" s="65">
        <v>0</v>
      </c>
      <c r="AA5" s="65">
        <v>0</v>
      </c>
      <c r="AB5" s="65">
        <v>0</v>
      </c>
      <c r="AC5" s="65">
        <v>0</v>
      </c>
      <c r="AD5" s="65">
        <v>0</v>
      </c>
      <c r="AE5" s="65">
        <v>0</v>
      </c>
      <c r="AK5" s="53" t="s">
        <v>3</v>
      </c>
      <c r="AL5" s="66"/>
      <c r="AM5" s="66"/>
      <c r="AO5" s="80"/>
    </row>
    <row r="6" spans="2:53" s="21" customFormat="1" ht="18.75" customHeight="1" x14ac:dyDescent="0.15">
      <c r="B6" s="227" t="s">
        <v>4</v>
      </c>
      <c r="C6" s="228">
        <f>IFERROR(INDEX(年齢階層×在院期間区分F00F01[#All],MATCH($AK6,年齢階層×在院期間区分F00F01[[#All],[行ラベル]],0),MATCH($AL$3,年齢階層×在院期間区分F00F01[#Headers],0)),0)+IFERROR(INDEX(年齢階層×在院期間区分F00F01[#All],MATCH($AK6,年齢階層×在院期間区分F00F01[[#All],[行ラベル]],0),MATCH($AM$3,年齢階層×在院期間区分F00F01[#Headers],0)),0)+IFERROR(INDEX(年齢階層×在院期間区分F00F01[#All],MATCH($AK6,年齢階層×在院期間区分F00F01[[#All],[行ラベル]],0),MATCH($AN$3,年齢階層×在院期間区分F00F01[#Headers],0)),0)+IFERROR(INDEX(年齢階層×在院期間区分F00F01[#All],MATCH($AK6,年齢階層×在院期間区分F00F01[[#All],[行ラベル]],0),MATCH($AO$3,年齢階層×在院期間区分F00F01[#Headers],0)),0)</f>
        <v>0</v>
      </c>
      <c r="D6" s="206">
        <f t="shared" si="0"/>
        <v>0</v>
      </c>
      <c r="E6" s="229">
        <f>IFERROR(INDEX(年齢階層×在院期間区分F00F01[#All],MATCH($AK6,年齢階層×在院期間区分F00F01[[#All],[行ラベル]],0),MATCH($AP$3,年齢階層×在院期間区分F00F01[#Headers],0)),0)+IFERROR(INDEX(年齢階層×在院期間区分F00F01[#All],MATCH($AK6,年齢階層×在院期間区分F00F01[[#All],[行ラベル]],0),MATCH($AQ$3,年齢階層×在院期間区分F00F01[#Headers],0)),0)+IFERROR(INDEX(年齢階層×在院期間区分F00F01[#All],MATCH($AK6,年齢階層×在院期間区分F00F01[[#All],[行ラベル]],0),MATCH($AR$3,年齢階層×在院期間区分F00F01[#Headers],0)),0)+IFERROR(INDEX(年齢階層×在院期間区分F00F01[#All],MATCH($AK6,年齢階層×在院期間区分F00F01[[#All],[行ラベル]],0),MATCH($AS$3,年齢階層×在院期間区分F00F01[#Headers],0)),0)+IFERROR(INDEX(年齢階層×在院期間区分F00F01[#All],MATCH($AK6,年齢階層×在院期間区分F00F01[[#All],[行ラベル]],0),MATCH($AT$3,年齢階層×在院期間区分F00F01[#Headers],0)),0)</f>
        <v>1</v>
      </c>
      <c r="F6" s="206">
        <f t="shared" si="1"/>
        <v>1.0660980810234541E-3</v>
      </c>
      <c r="G6" s="228">
        <f>IFERROR(INDEX(年齢階層×在院期間区分F00F01[#All],MATCH($AK6,年齢階層×在院期間区分F00F01[[#All],[行ラベル]],0),MATCH($AU$3,年齢階層×在院期間区分F00F01[#Headers],0)),0)+IFERROR(INDEX(年齢階層×在院期間区分F00F01[#All],MATCH($AK6,年齢階層×在院期間区分F00F01[[#All],[行ラベル]],0),MATCH($AV$3,年齢階層×在院期間区分F00F01[#Headers],0)),0)+IFERROR(INDEX(年齢階層×在院期間区分F00F01[#All],MATCH($AK6,年齢階層×在院期間区分F00F01[[#All],[行ラベル]],0),MATCH($AW$3,年齢階層×在院期間区分F00F01[#Headers],0)),0)+IFERROR(INDEX(年齢階層×在院期間区分F00F01[#All],MATCH($AK6,年齢階層×在院期間区分F00F01[[#All],[行ラベル]],0),MATCH($AX$3,年齢階層×在院期間区分F00F01[#Headers],0)),0)+IFERROR(INDEX(年齢階層×在院期間区分F00F01[#All],MATCH($AK6,年齢階層×在院期間区分F00F01[[#All],[行ラベル]],0),MATCH($AY$3,年齢階層×在院期間区分F00F01[#Headers],0)),0)</f>
        <v>0</v>
      </c>
      <c r="H6" s="206">
        <f t="shared" si="2"/>
        <v>0</v>
      </c>
      <c r="I6" s="205">
        <f>IFERROR(INDEX(年齢階層×在院期間区分F00F01[#All],MATCH($AK6,年齢階層×在院期間区分F00F01[[#All],[行ラベル]],0),MATCH($AZ$3,年齢階層×在院期間区分F00F01[#Headers],0)),0)+IFERROR(INDEX(年齢階層×在院期間区分F00F01[#All],MATCH($AK6,年齢階層×在院期間区分F00F01[[#All],[行ラベル]],0),MATCH($BA$3,年齢階層×在院期間区分F00F01[#Headers],0)),0)</f>
        <v>0</v>
      </c>
      <c r="J6" s="206">
        <f t="shared" si="3"/>
        <v>0</v>
      </c>
      <c r="K6" s="205">
        <f t="shared" si="4"/>
        <v>1</v>
      </c>
      <c r="L6" s="206">
        <f t="shared" si="5"/>
        <v>4.0666937779585197E-4</v>
      </c>
      <c r="O6" s="53" t="s">
        <v>4</v>
      </c>
      <c r="P6" s="65">
        <v>0</v>
      </c>
      <c r="Q6" s="65">
        <v>0</v>
      </c>
      <c r="R6" s="65">
        <v>0</v>
      </c>
      <c r="S6" s="65">
        <v>0</v>
      </c>
      <c r="T6" s="65">
        <v>0</v>
      </c>
      <c r="U6" s="65">
        <v>0</v>
      </c>
      <c r="V6" s="65">
        <v>0</v>
      </c>
      <c r="W6" s="65">
        <v>0</v>
      </c>
      <c r="X6" s="65">
        <v>1</v>
      </c>
      <c r="Y6" s="65">
        <v>0</v>
      </c>
      <c r="Z6" s="65">
        <v>0</v>
      </c>
      <c r="AA6" s="65">
        <v>0</v>
      </c>
      <c r="AB6" s="65">
        <v>0</v>
      </c>
      <c r="AC6" s="65">
        <v>0</v>
      </c>
      <c r="AD6" s="65">
        <v>0</v>
      </c>
      <c r="AE6" s="65">
        <v>0</v>
      </c>
      <c r="AK6" s="53" t="s">
        <v>4</v>
      </c>
      <c r="AL6" s="66"/>
      <c r="AM6" s="66"/>
      <c r="AO6" s="80"/>
    </row>
    <row r="7" spans="2:53" s="21" customFormat="1" ht="18.75" customHeight="1" x14ac:dyDescent="0.15">
      <c r="B7" s="227" t="s">
        <v>5</v>
      </c>
      <c r="C7" s="205">
        <f>IFERROR(INDEX(年齢階層×在院期間区分F00F01[#All],MATCH($AK7,年齢階層×在院期間区分F00F01[[#All],[行ラベル]],0),MATCH($AL$3,年齢階層×在院期間区分F00F01[#Headers],0)),0)+IFERROR(INDEX(年齢階層×在院期間区分F00F01[#All],MATCH($AK7,年齢階層×在院期間区分F00F01[[#All],[行ラベル]],0),MATCH($AM$3,年齢階層×在院期間区分F00F01[#Headers],0)),0)+IFERROR(INDEX(年齢階層×在院期間区分F00F01[#All],MATCH($AK7,年齢階層×在院期間区分F00F01[[#All],[行ラベル]],0),MATCH($AN$3,年齢階層×在院期間区分F00F01[#Headers],0)),0)+IFERROR(INDEX(年齢階層×在院期間区分F00F01[#All],MATCH($AK7,年齢階層×在院期間区分F00F01[[#All],[行ラベル]],0),MATCH($AO$3,年齢階層×在院期間区分F00F01[#Headers],0)),0)</f>
        <v>2</v>
      </c>
      <c r="D7" s="206">
        <f t="shared" si="0"/>
        <v>1.5885623510722795E-3</v>
      </c>
      <c r="E7" s="205">
        <f>IFERROR(INDEX(年齢階層×在院期間区分F00F01[#All],MATCH($AK7,年齢階層×在院期間区分F00F01[[#All],[行ラベル]],0),MATCH($AP$3,年齢階層×在院期間区分F00F01[#Headers],0)),0)+IFERROR(INDEX(年齢階層×在院期間区分F00F01[#All],MATCH($AK7,年齢階層×在院期間区分F00F01[[#All],[行ラベル]],0),MATCH($AQ$3,年齢階層×在院期間区分F00F01[#Headers],0)),0)+IFERROR(INDEX(年齢階層×在院期間区分F00F01[#All],MATCH($AK7,年齢階層×在院期間区分F00F01[[#All],[行ラベル]],0),MATCH($AR$3,年齢階層×在院期間区分F00F01[#Headers],0)),0)+IFERROR(INDEX(年齢階層×在院期間区分F00F01[#All],MATCH($AK7,年齢階層×在院期間区分F00F01[[#All],[行ラベル]],0),MATCH($AS$3,年齢階層×在院期間区分F00F01[#Headers],0)),0)+IFERROR(INDEX(年齢階層×在院期間区分F00F01[#All],MATCH($AK7,年齢階層×在院期間区分F00F01[[#All],[行ラベル]],0),MATCH($AT$3,年齢階層×在院期間区分F00F01[#Headers],0)),0)</f>
        <v>0</v>
      </c>
      <c r="F7" s="206">
        <f t="shared" si="1"/>
        <v>0</v>
      </c>
      <c r="G7" s="228">
        <f>IFERROR(INDEX(年齢階層×在院期間区分F00F01[#All],MATCH($AK7,年齢階層×在院期間区分F00F01[[#All],[行ラベル]],0),MATCH($AU$3,年齢階層×在院期間区分F00F01[#Headers],0)),0)+IFERROR(INDEX(年齢階層×在院期間区分F00F01[#All],MATCH($AK7,年齢階層×在院期間区分F00F01[[#All],[行ラベル]],0),MATCH($AV$3,年齢階層×在院期間区分F00F01[#Headers],0)),0)+IFERROR(INDEX(年齢階層×在院期間区分F00F01[#All],MATCH($AK7,年齢階層×在院期間区分F00F01[[#All],[行ラベル]],0),MATCH($AW$3,年齢階層×在院期間区分F00F01[#Headers],0)),0)+IFERROR(INDEX(年齢階層×在院期間区分F00F01[#All],MATCH($AK7,年齢階層×在院期間区分F00F01[[#All],[行ラベル]],0),MATCH($AX$3,年齢階層×在院期間区分F00F01[#Headers],0)),0)+IFERROR(INDEX(年齢階層×在院期間区分F00F01[#All],MATCH($AK7,年齢階層×在院期間区分F00F01[[#All],[行ラベル]],0),MATCH($AY$3,年齢階層×在院期間区分F00F01[#Headers],0)),0)</f>
        <v>0</v>
      </c>
      <c r="H7" s="206">
        <f t="shared" si="2"/>
        <v>0</v>
      </c>
      <c r="I7" s="229">
        <f>IFERROR(INDEX(年齢階層×在院期間区分F00F01[#All],MATCH($AK7,年齢階層×在院期間区分F00F01[[#All],[行ラベル]],0),MATCH($AZ$3,年齢階層×在院期間区分F00F01[#Headers],0)),0)+IFERROR(INDEX(年齢階層×在院期間区分F00F01[#All],MATCH($AK7,年齢階層×在院期間区分F00F01[[#All],[行ラベル]],0),MATCH($BA$3,年齢階層×在院期間区分F00F01[#Headers],0)),0)</f>
        <v>0</v>
      </c>
      <c r="J7" s="206">
        <f t="shared" si="3"/>
        <v>0</v>
      </c>
      <c r="K7" s="205">
        <f t="shared" si="4"/>
        <v>2</v>
      </c>
      <c r="L7" s="206">
        <f t="shared" si="5"/>
        <v>8.1333875559170394E-4</v>
      </c>
      <c r="O7" s="53" t="s">
        <v>5</v>
      </c>
      <c r="P7" s="65">
        <v>0</v>
      </c>
      <c r="Q7" s="65">
        <v>1</v>
      </c>
      <c r="R7" s="65">
        <v>1</v>
      </c>
      <c r="S7" s="65">
        <v>0</v>
      </c>
      <c r="T7" s="65">
        <v>0</v>
      </c>
      <c r="U7" s="65">
        <v>0</v>
      </c>
      <c r="V7" s="65">
        <v>0</v>
      </c>
      <c r="W7" s="65">
        <v>0</v>
      </c>
      <c r="X7" s="65">
        <v>0</v>
      </c>
      <c r="Y7" s="65">
        <v>0</v>
      </c>
      <c r="Z7" s="65">
        <v>0</v>
      </c>
      <c r="AA7" s="65">
        <v>0</v>
      </c>
      <c r="AB7" s="65">
        <v>0</v>
      </c>
      <c r="AC7" s="65">
        <v>0</v>
      </c>
      <c r="AD7" s="65">
        <v>0</v>
      </c>
      <c r="AE7" s="65">
        <v>0</v>
      </c>
      <c r="AK7" s="53" t="s">
        <v>5</v>
      </c>
      <c r="AL7" s="66"/>
      <c r="AM7" s="66"/>
      <c r="AO7" s="80"/>
    </row>
    <row r="8" spans="2:53" s="21" customFormat="1" ht="18.75" customHeight="1" x14ac:dyDescent="0.15">
      <c r="B8" s="227" t="s">
        <v>6</v>
      </c>
      <c r="C8" s="205">
        <f>IFERROR(INDEX(年齢階層×在院期間区分F00F01[#All],MATCH($AK8,年齢階層×在院期間区分F00F01[[#All],[行ラベル]],0),MATCH($AL$3,年齢階層×在院期間区分F00F01[#Headers],0)),0)+IFERROR(INDEX(年齢階層×在院期間区分F00F01[#All],MATCH($AK8,年齢階層×在院期間区分F00F01[[#All],[行ラベル]],0),MATCH($AM$3,年齢階層×在院期間区分F00F01[#Headers],0)),0)+IFERROR(INDEX(年齢階層×在院期間区分F00F01[#All],MATCH($AK8,年齢階層×在院期間区分F00F01[[#All],[行ラベル]],0),MATCH($AN$3,年齢階層×在院期間区分F00F01[#Headers],0)),0)+IFERROR(INDEX(年齢階層×在院期間区分F00F01[#All],MATCH($AK8,年齢階層×在院期間区分F00F01[[#All],[行ラベル]],0),MATCH($AO$3,年齢階層×在院期間区分F00F01[#Headers],0)),0)</f>
        <v>16</v>
      </c>
      <c r="D8" s="206">
        <f>IFERROR(C8/$C$13,"-")</f>
        <v>1.2708498808578236E-2</v>
      </c>
      <c r="E8" s="205">
        <f>IFERROR(INDEX(年齢階層×在院期間区分F00F01[#All],MATCH($AK8,年齢階層×在院期間区分F00F01[[#All],[行ラベル]],0),MATCH($AP$3,年齢階層×在院期間区分F00F01[#Headers],0)),0)+IFERROR(INDEX(年齢階層×在院期間区分F00F01[#All],MATCH($AK8,年齢階層×在院期間区分F00F01[[#All],[行ラベル]],0),MATCH($AQ$3,年齢階層×在院期間区分F00F01[#Headers],0)),0)+IFERROR(INDEX(年齢階層×在院期間区分F00F01[#All],MATCH($AK8,年齢階層×在院期間区分F00F01[[#All],[行ラベル]],0),MATCH($AR$3,年齢階層×在院期間区分F00F01[#Headers],0)),0)+IFERROR(INDEX(年齢階層×在院期間区分F00F01[#All],MATCH($AK8,年齢階層×在院期間区分F00F01[[#All],[行ラベル]],0),MATCH($AS$3,年齢階層×在院期間区分F00F01[#Headers],0)),0)+IFERROR(INDEX(年齢階層×在院期間区分F00F01[#All],MATCH($AK8,年齢階層×在院期間区分F00F01[[#All],[行ラベル]],0),MATCH($AT$3,年齢階層×在院期間区分F00F01[#Headers],0)),0)</f>
        <v>8</v>
      </c>
      <c r="F8" s="206">
        <f t="shared" si="1"/>
        <v>8.5287846481876331E-3</v>
      </c>
      <c r="G8" s="228">
        <f>IFERROR(INDEX(年齢階層×在院期間区分F00F01[#All],MATCH($AK8,年齢階層×在院期間区分F00F01[[#All],[行ラベル]],0),MATCH($AU$3,年齢階層×在院期間区分F00F01[#Headers],0)),0)+IFERROR(INDEX(年齢階層×在院期間区分F00F01[#All],MATCH($AK8,年齢階層×在院期間区分F00F01[[#All],[行ラベル]],0),MATCH($AV$3,年齢階層×在院期間区分F00F01[#Headers],0)),0)+IFERROR(INDEX(年齢階層×在院期間区分F00F01[#All],MATCH($AK8,年齢階層×在院期間区分F00F01[[#All],[行ラベル]],0),MATCH($AW$3,年齢階層×在院期間区分F00F01[#Headers],0)),0)+IFERROR(INDEX(年齢階層×在院期間区分F00F01[#All],MATCH($AK8,年齢階層×在院期間区分F00F01[[#All],[行ラベル]],0),MATCH($AX$3,年齢階層×在院期間区分F00F01[#Headers],0)),0)+IFERROR(INDEX(年齢階層×在院期間区分F00F01[#All],MATCH($AK8,年齢階層×在院期間区分F00F01[[#All],[行ラベル]],0),MATCH($AY$3,年齢階層×在院期間区分F00F01[#Headers],0)),0)</f>
        <v>1</v>
      </c>
      <c r="H8" s="206">
        <f t="shared" si="2"/>
        <v>5.434782608695652E-3</v>
      </c>
      <c r="I8" s="228">
        <f>IFERROR(INDEX(年齢階層×在院期間区分F00F01[#All],MATCH($AK8,年齢階層×在院期間区分F00F01[[#All],[行ラベル]],0),MATCH($AZ$3,年齢階層×在院期間区分F00F01[#Headers],0)),0)+IFERROR(INDEX(年齢階層×在院期間区分F00F01[#All],MATCH($AK8,年齢階層×在院期間区分F00F01[[#All],[行ラベル]],0),MATCH($BA$3,年齢階層×在院期間区分F00F01[#Headers],0)),0)</f>
        <v>2</v>
      </c>
      <c r="J8" s="206">
        <f t="shared" si="3"/>
        <v>2.564102564102564E-2</v>
      </c>
      <c r="K8" s="205">
        <f t="shared" si="4"/>
        <v>27</v>
      </c>
      <c r="L8" s="206">
        <f t="shared" si="5"/>
        <v>1.0980073200488003E-2</v>
      </c>
      <c r="O8" s="53" t="s">
        <v>6</v>
      </c>
      <c r="P8" s="65">
        <v>3</v>
      </c>
      <c r="Q8" s="65">
        <v>6</v>
      </c>
      <c r="R8" s="65">
        <v>2</v>
      </c>
      <c r="S8" s="65">
        <v>5</v>
      </c>
      <c r="T8" s="65">
        <v>2</v>
      </c>
      <c r="U8" s="65">
        <v>0</v>
      </c>
      <c r="V8" s="65">
        <v>3</v>
      </c>
      <c r="W8" s="65">
        <v>1</v>
      </c>
      <c r="X8" s="65">
        <v>2</v>
      </c>
      <c r="Y8" s="65">
        <v>1</v>
      </c>
      <c r="Z8" s="65">
        <v>0</v>
      </c>
      <c r="AA8" s="65">
        <v>0</v>
      </c>
      <c r="AB8" s="65">
        <v>0</v>
      </c>
      <c r="AC8" s="65">
        <v>0</v>
      </c>
      <c r="AD8" s="65">
        <v>1</v>
      </c>
      <c r="AE8" s="65">
        <v>1</v>
      </c>
      <c r="AK8" s="53" t="s">
        <v>6</v>
      </c>
      <c r="AL8" s="66"/>
      <c r="AM8" s="66"/>
      <c r="AO8" s="80"/>
    </row>
    <row r="9" spans="2:53" s="21" customFormat="1" ht="18.75" customHeight="1" x14ac:dyDescent="0.15">
      <c r="B9" s="227" t="s">
        <v>7</v>
      </c>
      <c r="C9" s="205">
        <f>IFERROR(INDEX(年齢階層×在院期間区分F00F01[#All],MATCH($AK9,年齢階層×在院期間区分F00F01[[#All],[行ラベル]],0),MATCH($AL$3,年齢階層×在院期間区分F00F01[#Headers],0)),0)+IFERROR(INDEX(年齢階層×在院期間区分F00F01[#All],MATCH($AK9,年齢階層×在院期間区分F00F01[[#All],[行ラベル]],0),MATCH($AM$3,年齢階層×在院期間区分F00F01[#Headers],0)),0)+IFERROR(INDEX(年齢階層×在院期間区分F00F01[#All],MATCH($AK9,年齢階層×在院期間区分F00F01[[#All],[行ラベル]],0),MATCH($AN$3,年齢階層×在院期間区分F00F01[#Headers],0)),0)+IFERROR(INDEX(年齢階層×在院期間区分F00F01[#All],MATCH($AK9,年齢階層×在院期間区分F00F01[[#All],[行ラベル]],0),MATCH($AO$3,年齢階層×在院期間区分F00F01[#Headers],0)),0)</f>
        <v>61</v>
      </c>
      <c r="D9" s="206">
        <f t="shared" si="0"/>
        <v>4.8451151707704525E-2</v>
      </c>
      <c r="E9" s="229">
        <f>IFERROR(INDEX(年齢階層×在院期間区分F00F01[#All],MATCH($AK9,年齢階層×在院期間区分F00F01[[#All],[行ラベル]],0),MATCH($AP$3,年齢階層×在院期間区分F00F01[#Headers],0)),0)+IFERROR(INDEX(年齢階層×在院期間区分F00F01[#All],MATCH($AK9,年齢階層×在院期間区分F00F01[[#All],[行ラベル]],0),MATCH($AQ$3,年齢階層×在院期間区分F00F01[#Headers],0)),0)+IFERROR(INDEX(年齢階層×在院期間区分F00F01[#All],MATCH($AK9,年齢階層×在院期間区分F00F01[[#All],[行ラベル]],0),MATCH($AR$3,年齢階層×在院期間区分F00F01[#Headers],0)),0)+IFERROR(INDEX(年齢階層×在院期間区分F00F01[#All],MATCH($AK9,年齢階層×在院期間区分F00F01[[#All],[行ラベル]],0),MATCH($AS$3,年齢階層×在院期間区分F00F01[#Headers],0)),0)+IFERROR(INDEX(年齢階層×在院期間区分F00F01[#All],MATCH($AK9,年齢階層×在院期間区分F00F01[[#All],[行ラベル]],0),MATCH($AT$3,年齢階層×在院期間区分F00F01[#Headers],0)),0)</f>
        <v>35</v>
      </c>
      <c r="F9" s="206">
        <f t="shared" si="1"/>
        <v>3.7313432835820892E-2</v>
      </c>
      <c r="G9" s="228">
        <f>IFERROR(INDEX(年齢階層×在院期間区分F00F01[#All],MATCH($AK9,年齢階層×在院期間区分F00F01[[#All],[行ラベル]],0),MATCH($AU$3,年齢階層×在院期間区分F00F01[#Headers],0)),0)+IFERROR(INDEX(年齢階層×在院期間区分F00F01[#All],MATCH($AK9,年齢階層×在院期間区分F00F01[[#All],[行ラベル]],0),MATCH($AV$3,年齢階層×在院期間区分F00F01[#Headers],0)),0)+IFERROR(INDEX(年齢階層×在院期間区分F00F01[#All],MATCH($AK9,年齢階層×在院期間区分F00F01[[#All],[行ラベル]],0),MATCH($AW$3,年齢階層×在院期間区分F00F01[#Headers],0)),0)+IFERROR(INDEX(年齢階層×在院期間区分F00F01[#All],MATCH($AK9,年齢階層×在院期間区分F00F01[[#All],[行ラベル]],0),MATCH($AX$3,年齢階層×在院期間区分F00F01[#Headers],0)),0)+IFERROR(INDEX(年齢階層×在院期間区分F00F01[#All],MATCH($AK9,年齢階層×在院期間区分F00F01[[#All],[行ラベル]],0),MATCH($AY$3,年齢階層×在院期間区分F00F01[#Headers],0)),0)</f>
        <v>6</v>
      </c>
      <c r="H9" s="206">
        <f t="shared" si="2"/>
        <v>3.2608695652173912E-2</v>
      </c>
      <c r="I9" s="205">
        <f>IFERROR(INDEX(年齢階層×在院期間区分F00F01[#All],MATCH($AK9,年齢階層×在院期間区分F00F01[[#All],[行ラベル]],0),MATCH($AZ$3,年齢階層×在院期間区分F00F01[#Headers],0)),0)+IFERROR(INDEX(年齢階層×在院期間区分F00F01[#All],MATCH($AK9,年齢階層×在院期間区分F00F01[[#All],[行ラベル]],0),MATCH($BA$3,年齢階層×在院期間区分F00F01[#Headers],0)),0)</f>
        <v>3</v>
      </c>
      <c r="J9" s="206">
        <f t="shared" si="3"/>
        <v>3.8461538461538464E-2</v>
      </c>
      <c r="K9" s="205">
        <f t="shared" si="4"/>
        <v>105</v>
      </c>
      <c r="L9" s="206">
        <f t="shared" si="5"/>
        <v>4.2700284668564459E-2</v>
      </c>
      <c r="O9" s="53" t="s">
        <v>7</v>
      </c>
      <c r="P9" s="65">
        <v>14</v>
      </c>
      <c r="Q9" s="65">
        <v>13</v>
      </c>
      <c r="R9" s="65">
        <v>14</v>
      </c>
      <c r="S9" s="65">
        <v>20</v>
      </c>
      <c r="T9" s="65">
        <v>6</v>
      </c>
      <c r="U9" s="65">
        <v>6</v>
      </c>
      <c r="V9" s="65">
        <v>8</v>
      </c>
      <c r="W9" s="65">
        <v>12</v>
      </c>
      <c r="X9" s="65">
        <v>3</v>
      </c>
      <c r="Y9" s="65">
        <v>2</v>
      </c>
      <c r="Z9" s="65">
        <v>3</v>
      </c>
      <c r="AA9" s="65">
        <v>0</v>
      </c>
      <c r="AB9" s="65">
        <v>0</v>
      </c>
      <c r="AC9" s="65">
        <v>1</v>
      </c>
      <c r="AD9" s="65">
        <v>1</v>
      </c>
      <c r="AE9" s="65">
        <v>2</v>
      </c>
      <c r="AK9" s="53" t="s">
        <v>7</v>
      </c>
      <c r="AL9" s="66"/>
      <c r="AM9" s="66"/>
      <c r="AO9" s="80"/>
    </row>
    <row r="10" spans="2:53" s="21" customFormat="1" ht="18.75" customHeight="1" x14ac:dyDescent="0.15">
      <c r="B10" s="227" t="s">
        <v>8</v>
      </c>
      <c r="C10" s="229">
        <f>IFERROR(INDEX(年齢階層×在院期間区分F00F01[#All],MATCH($AK10,年齢階層×在院期間区分F00F01[[#All],[行ラベル]],0),MATCH($AL$3,年齢階層×在院期間区分F00F01[#Headers],0)),0)+IFERROR(INDEX(年齢階層×在院期間区分F00F01[#All],MATCH($AK10,年齢階層×在院期間区分F00F01[[#All],[行ラベル]],0),MATCH($AM$3,年齢階層×在院期間区分F00F01[#Headers],0)),0)+IFERROR(INDEX(年齢階層×在院期間区分F00F01[#All],MATCH($AK10,年齢階層×在院期間区分F00F01[[#All],[行ラベル]],0),MATCH($AN$3,年齢階層×在院期間区分F00F01[#Headers],0)),0)+IFERROR(INDEX(年齢階層×在院期間区分F00F01[#All],MATCH($AK10,年齢階層×在院期間区分F00F01[[#All],[行ラベル]],0),MATCH($AO$3,年齢階層×在院期間区分F00F01[#Headers],0)),0)</f>
        <v>336</v>
      </c>
      <c r="D10" s="206">
        <f t="shared" si="0"/>
        <v>0.26687847498014294</v>
      </c>
      <c r="E10" s="228">
        <f>IFERROR(INDEX(年齢階層×在院期間区分F00F01[#All],MATCH($AK10,年齢階層×在院期間区分F00F01[[#All],[行ラベル]],0),MATCH($AP$3,年齢階層×在院期間区分F00F01[#Headers],0)),0)+IFERROR(INDEX(年齢階層×在院期間区分F00F01[#All],MATCH($AK10,年齢階層×在院期間区分F00F01[[#All],[行ラベル]],0),MATCH($AQ$3,年齢階層×在院期間区分F00F01[#Headers],0)),0)+IFERROR(INDEX(年齢階層×在院期間区分F00F01[#All],MATCH($AK10,年齢階層×在院期間区分F00F01[[#All],[行ラベル]],0),MATCH($AR$3,年齢階層×在院期間区分F00F01[#Headers],0)),0)+IFERROR(INDEX(年齢階層×在院期間区分F00F01[#All],MATCH($AK10,年齢階層×在院期間区分F00F01[[#All],[行ラベル]],0),MATCH($AS$3,年齢階層×在院期間区分F00F01[#Headers],0)),0)+IFERROR(INDEX(年齢階層×在院期間区分F00F01[#All],MATCH($AK10,年齢階層×在院期間区分F00F01[[#All],[行ラベル]],0),MATCH($AT$3,年齢階層×在院期間区分F00F01[#Headers],0)),0)</f>
        <v>230</v>
      </c>
      <c r="F10" s="206">
        <f t="shared" si="1"/>
        <v>0.24520255863539445</v>
      </c>
      <c r="G10" s="228">
        <f>IFERROR(INDEX(年齢階層×在院期間区分F00F01[#All],MATCH($AK10,年齢階層×在院期間区分F00F01[[#All],[行ラベル]],0),MATCH($AU$3,年齢階層×在院期間区分F00F01[#Headers],0)),0)+IFERROR(INDEX(年齢階層×在院期間区分F00F01[#All],MATCH($AK10,年齢階層×在院期間区分F00F01[[#All],[行ラベル]],0),MATCH($AV$3,年齢階層×在院期間区分F00F01[#Headers],0)),0)+IFERROR(INDEX(年齢階層×在院期間区分F00F01[#All],MATCH($AK10,年齢階層×在院期間区分F00F01[[#All],[行ラベル]],0),MATCH($AW$3,年齢階層×在院期間区分F00F01[#Headers],0)),0)+IFERROR(INDEX(年齢階層×在院期間区分F00F01[#All],MATCH($AK10,年齢階層×在院期間区分F00F01[[#All],[行ラベル]],0),MATCH($AX$3,年齢階層×在院期間区分F00F01[#Headers],0)),0)+IFERROR(INDEX(年齢階層×在院期間区分F00F01[#All],MATCH($AK10,年齢階層×在院期間区分F00F01[[#All],[行ラベル]],0),MATCH($AY$3,年齢階層×在院期間区分F00F01[#Headers],0)),0)</f>
        <v>42</v>
      </c>
      <c r="H10" s="206">
        <f t="shared" si="2"/>
        <v>0.22826086956521738</v>
      </c>
      <c r="I10" s="205">
        <f>IFERROR(INDEX(年齢階層×在院期間区分F00F01[#All],MATCH($AK10,年齢階層×在院期間区分F00F01[[#All],[行ラベル]],0),MATCH($AZ$3,年齢階層×在院期間区分F00F01[#Headers],0)),0)+IFERROR(INDEX(年齢階層×在院期間区分F00F01[#All],MATCH($AK10,年齢階層×在院期間区分F00F01[[#All],[行ラベル]],0),MATCH($BA$3,年齢階層×在院期間区分F00F01[#Headers],0)),0)</f>
        <v>24</v>
      </c>
      <c r="J10" s="206">
        <f t="shared" si="3"/>
        <v>0.30769230769230771</v>
      </c>
      <c r="K10" s="205">
        <f t="shared" si="4"/>
        <v>632</v>
      </c>
      <c r="L10" s="206">
        <f t="shared" si="5"/>
        <v>0.25701504676697845</v>
      </c>
      <c r="O10" s="53" t="s">
        <v>8</v>
      </c>
      <c r="P10" s="65">
        <v>65</v>
      </c>
      <c r="Q10" s="65">
        <v>108</v>
      </c>
      <c r="R10" s="65">
        <v>67</v>
      </c>
      <c r="S10" s="65">
        <v>96</v>
      </c>
      <c r="T10" s="65">
        <v>62</v>
      </c>
      <c r="U10" s="65">
        <v>42</v>
      </c>
      <c r="V10" s="65">
        <v>60</v>
      </c>
      <c r="W10" s="65">
        <v>39</v>
      </c>
      <c r="X10" s="65">
        <v>27</v>
      </c>
      <c r="Y10" s="65">
        <v>21</v>
      </c>
      <c r="Z10" s="65">
        <v>10</v>
      </c>
      <c r="AA10" s="65">
        <v>5</v>
      </c>
      <c r="AB10" s="65">
        <v>4</v>
      </c>
      <c r="AC10" s="65">
        <v>2</v>
      </c>
      <c r="AD10" s="65">
        <v>19</v>
      </c>
      <c r="AE10" s="65">
        <v>5</v>
      </c>
      <c r="AK10" s="53" t="s">
        <v>8</v>
      </c>
      <c r="AL10" s="66"/>
      <c r="AM10" s="66"/>
      <c r="AO10" s="80"/>
    </row>
    <row r="11" spans="2:53" s="21" customFormat="1" ht="18.75" customHeight="1" x14ac:dyDescent="0.15">
      <c r="B11" s="227" t="s">
        <v>9</v>
      </c>
      <c r="C11" s="205">
        <f>IFERROR(INDEX(年齢階層×在院期間区分F00F01[#All],MATCH($AK11,年齢階層×在院期間区分F00F01[[#All],[行ラベル]],0),MATCH($AL$3,年齢階層×在院期間区分F00F01[#Headers],0)),0)+IFERROR(INDEX(年齢階層×在院期間区分F00F01[#All],MATCH($AK11,年齢階層×在院期間区分F00F01[[#All],[行ラベル]],0),MATCH($AM$3,年齢階層×在院期間区分F00F01[#Headers],0)),0)+IFERROR(INDEX(年齢階層×在院期間区分F00F01[#All],MATCH($AK11,年齢階層×在院期間区分F00F01[[#All],[行ラベル]],0),MATCH($AN$3,年齢階層×在院期間区分F00F01[#Headers],0)),0)+IFERROR(INDEX(年齢階層×在院期間区分F00F01[#All],MATCH($AK11,年齢階層×在院期間区分F00F01[[#All],[行ラベル]],0),MATCH($AO$3,年齢階層×在院期間区分F00F01[#Headers],0)),0)</f>
        <v>701</v>
      </c>
      <c r="D11" s="206">
        <f t="shared" si="0"/>
        <v>0.55679110405083398</v>
      </c>
      <c r="E11" s="228">
        <f>IFERROR(INDEX(年齢階層×在院期間区分F00F01[#All],MATCH($AK11,年齢階層×在院期間区分F00F01[[#All],[行ラベル]],0),MATCH($AP$3,年齢階層×在院期間区分F00F01[#Headers],0)),0)+IFERROR(INDEX(年齢階層×在院期間区分F00F01[#All],MATCH($AK11,年齢階層×在院期間区分F00F01[[#All],[行ラベル]],0),MATCH($AQ$3,年齢階層×在院期間区分F00F01[#Headers],0)),0)+IFERROR(INDEX(年齢階層×在院期間区分F00F01[#All],MATCH($AK11,年齢階層×在院期間区分F00F01[[#All],[行ラベル]],0),MATCH($AR$3,年齢階層×在院期間区分F00F01[#Headers],0)),0)+IFERROR(INDEX(年齢階層×在院期間区分F00F01[#All],MATCH($AK11,年齢階層×在院期間区分F00F01[[#All],[行ラベル]],0),MATCH($AS$3,年齢階層×在院期間区分F00F01[#Headers],0)),0)+IFERROR(INDEX(年齢階層×在院期間区分F00F01[#All],MATCH($AK11,年齢階層×在院期間区分F00F01[[#All],[行ラベル]],0),MATCH($AT$3,年齢階層×在院期間区分F00F01[#Headers],0)),0)</f>
        <v>485</v>
      </c>
      <c r="F11" s="206">
        <f t="shared" si="1"/>
        <v>0.51705756929637525</v>
      </c>
      <c r="G11" s="228">
        <f>IFERROR(INDEX(年齢階層×在院期間区分F00F01[#All],MATCH($AK11,年齢階層×在院期間区分F00F01[[#All],[行ラベル]],0),MATCH($AU$3,年齢階層×在院期間区分F00F01[#Headers],0)),0)+IFERROR(INDEX(年齢階層×在院期間区分F00F01[#All],MATCH($AK11,年齢階層×在院期間区分F00F01[[#All],[行ラベル]],0),MATCH($AV$3,年齢階層×在院期間区分F00F01[#Headers],0)),0)+IFERROR(INDEX(年齢階層×在院期間区分F00F01[#All],MATCH($AK11,年齢階層×在院期間区分F00F01[[#All],[行ラベル]],0),MATCH($AW$3,年齢階層×在院期間区分F00F01[#Headers],0)),0)+IFERROR(INDEX(年齢階層×在院期間区分F00F01[#All],MATCH($AK11,年齢階層×在院期間区分F00F01[[#All],[行ラベル]],0),MATCH($AX$3,年齢階層×在院期間区分F00F01[#Headers],0)),0)+IFERROR(INDEX(年齢階層×在院期間区分F00F01[#All],MATCH($AK11,年齢階層×在院期間区分F00F01[[#All],[行ラベル]],0),MATCH($AY$3,年齢階層×在院期間区分F00F01[#Headers],0)),0)</f>
        <v>92</v>
      </c>
      <c r="H11" s="206">
        <f t="shared" si="2"/>
        <v>0.5</v>
      </c>
      <c r="I11" s="229">
        <f>IFERROR(INDEX(年齢階層×在院期間区分F00F01[#All],MATCH($AK11,年齢階層×在院期間区分F00F01[[#All],[行ラベル]],0),MATCH($AZ$3,年齢階層×在院期間区分F00F01[#Headers],0)),0)+IFERROR(INDEX(年齢階層×在院期間区分F00F01[#All],MATCH($AK11,年齢階層×在院期間区分F00F01[[#All],[行ラベル]],0),MATCH($BA$3,年齢階層×在院期間区分F00F01[#Headers],0)),0)</f>
        <v>29</v>
      </c>
      <c r="J11" s="206">
        <f t="shared" si="3"/>
        <v>0.37179487179487181</v>
      </c>
      <c r="K11" s="205">
        <f t="shared" si="4"/>
        <v>1307</v>
      </c>
      <c r="L11" s="206">
        <f t="shared" si="5"/>
        <v>0.53151687677917858</v>
      </c>
      <c r="O11" s="53" t="s">
        <v>9</v>
      </c>
      <c r="P11" s="65">
        <v>146</v>
      </c>
      <c r="Q11" s="65">
        <v>213</v>
      </c>
      <c r="R11" s="65">
        <v>129</v>
      </c>
      <c r="S11" s="65">
        <v>213</v>
      </c>
      <c r="T11" s="65">
        <v>126</v>
      </c>
      <c r="U11" s="65">
        <v>89</v>
      </c>
      <c r="V11" s="65">
        <v>122</v>
      </c>
      <c r="W11" s="65">
        <v>91</v>
      </c>
      <c r="X11" s="65">
        <v>57</v>
      </c>
      <c r="Y11" s="65">
        <v>37</v>
      </c>
      <c r="Z11" s="65">
        <v>15</v>
      </c>
      <c r="AA11" s="65">
        <v>14</v>
      </c>
      <c r="AB11" s="65">
        <v>12</v>
      </c>
      <c r="AC11" s="65">
        <v>14</v>
      </c>
      <c r="AD11" s="65">
        <v>28</v>
      </c>
      <c r="AE11" s="65">
        <v>1</v>
      </c>
      <c r="AK11" s="53" t="s">
        <v>9</v>
      </c>
      <c r="AL11" s="66"/>
      <c r="AM11" s="66"/>
      <c r="AO11" s="80"/>
    </row>
    <row r="12" spans="2:53" s="21" customFormat="1" ht="18.75" customHeight="1" thickBot="1" x14ac:dyDescent="0.2">
      <c r="B12" s="230" t="s">
        <v>10</v>
      </c>
      <c r="C12" s="231">
        <f>IFERROR(INDEX(年齢階層×在院期間区分F00F01[#All],MATCH($AK12,年齢階層×在院期間区分F00F01[[#All],[行ラベル]],0),MATCH($AL$3,年齢階層×在院期間区分F00F01[#Headers],0)),0)+IFERROR(INDEX(年齢階層×在院期間区分F00F01[#All],MATCH($AK12,年齢階層×在院期間区分F00F01[[#All],[行ラベル]],0),MATCH($AM$3,年齢階層×在院期間区分F00F01[#Headers],0)),0)+IFERROR(INDEX(年齢階層×在院期間区分F00F01[#All],MATCH($AK12,年齢階層×在院期間区分F00F01[[#All],[行ラベル]],0),MATCH($AN$3,年齢階層×在院期間区分F00F01[#Headers],0)),0)+IFERROR(INDEX(年齢階層×在院期間区分F00F01[#All],MATCH($AK12,年齢階層×在院期間区分F00F01[[#All],[行ラベル]],0),MATCH($AO$3,年齢階層×在院期間区分F00F01[#Headers],0)),0)</f>
        <v>143</v>
      </c>
      <c r="D12" s="222">
        <f t="shared" si="0"/>
        <v>0.11358220810166798</v>
      </c>
      <c r="E12" s="208">
        <f>IFERROR(INDEX(年齢階層×在院期間区分F00F01[#All],MATCH($AK12,年齢階層×在院期間区分F00F01[[#All],[行ラベル]],0),MATCH($AP$3,年齢階層×在院期間区分F00F01[#Headers],0)),0)+IFERROR(INDEX(年齢階層×在院期間区分F00F01[#All],MATCH($AK12,年齢階層×在院期間区分F00F01[[#All],[行ラベル]],0),MATCH($AQ$3,年齢階層×在院期間区分F00F01[#Headers],0)),0)+IFERROR(INDEX(年齢階層×在院期間区分F00F01[#All],MATCH($AK12,年齢階層×在院期間区分F00F01[[#All],[行ラベル]],0),MATCH($AR$3,年齢階層×在院期間区分F00F01[#Headers],0)),0)+IFERROR(INDEX(年齢階層×在院期間区分F00F01[#All],MATCH($AK12,年齢階層×在院期間区分F00F01[[#All],[行ラベル]],0),MATCH($AS$3,年齢階層×在院期間区分F00F01[#Headers],0)),0)+IFERROR(INDEX(年齢階層×在院期間区分F00F01[#All],MATCH($AK12,年齢階層×在院期間区分F00F01[[#All],[行ラベル]],0),MATCH($AT$3,年齢階層×在院期間区分F00F01[#Headers],0)),0)</f>
        <v>179</v>
      </c>
      <c r="F12" s="222">
        <f t="shared" si="1"/>
        <v>0.1908315565031983</v>
      </c>
      <c r="G12" s="208">
        <f>IFERROR(INDEX(年齢階層×在院期間区分F00F01[#All],MATCH($AK12,年齢階層×在院期間区分F00F01[[#All],[行ラベル]],0),MATCH($AU$3,年齢階層×在院期間区分F00F01[#Headers],0)),0)+IFERROR(INDEX(年齢階層×在院期間区分F00F01[#All],MATCH($AK12,年齢階層×在院期間区分F00F01[[#All],[行ラベル]],0),MATCH($AV$3,年齢階層×在院期間区分F00F01[#Headers],0)),0)+IFERROR(INDEX(年齢階層×在院期間区分F00F01[#All],MATCH($AK12,年齢階層×在院期間区分F00F01[[#All],[行ラベル]],0),MATCH($AW$3,年齢階層×在院期間区分F00F01[#Headers],0)),0)+IFERROR(INDEX(年齢階層×在院期間区分F00F01[#All],MATCH($AK12,年齢階層×在院期間区分F00F01[[#All],[行ラベル]],0),MATCH($AX$3,年齢階層×在院期間区分F00F01[#Headers],0)),0)+IFERROR(INDEX(年齢階層×在院期間区分F00F01[#All],MATCH($AK12,年齢階層×在院期間区分F00F01[[#All],[行ラベル]],0),MATCH($AY$3,年齢階層×在院期間区分F00F01[#Headers],0)),0)</f>
        <v>43</v>
      </c>
      <c r="H12" s="222">
        <f t="shared" si="2"/>
        <v>0.23369565217391305</v>
      </c>
      <c r="I12" s="208">
        <f>IFERROR(INDEX(年齢階層×在院期間区分F00F01[#All],MATCH($AK12,年齢階層×在院期間区分F00F01[[#All],[行ラベル]],0),MATCH($AZ$3,年齢階層×在院期間区分F00F01[#Headers],0)),0)+IFERROR(INDEX(年齢階層×在院期間区分F00F01[#All],MATCH($AK12,年齢階層×在院期間区分F00F01[[#All],[行ラベル]],0),MATCH($BA$3,年齢階層×在院期間区分F00F01[#Headers],0)),0)</f>
        <v>20</v>
      </c>
      <c r="J12" s="222">
        <f t="shared" si="3"/>
        <v>0.25641025641025639</v>
      </c>
      <c r="K12" s="208">
        <f t="shared" si="4"/>
        <v>385</v>
      </c>
      <c r="L12" s="222">
        <f t="shared" si="5"/>
        <v>0.156567710451403</v>
      </c>
      <c r="O12" s="53" t="s">
        <v>10</v>
      </c>
      <c r="P12" s="65">
        <v>29</v>
      </c>
      <c r="Q12" s="65">
        <v>52</v>
      </c>
      <c r="R12" s="65">
        <v>19</v>
      </c>
      <c r="S12" s="65">
        <v>43</v>
      </c>
      <c r="T12" s="65">
        <v>36</v>
      </c>
      <c r="U12" s="65">
        <v>29</v>
      </c>
      <c r="V12" s="65">
        <v>63</v>
      </c>
      <c r="W12" s="65">
        <v>30</v>
      </c>
      <c r="X12" s="65">
        <v>21</v>
      </c>
      <c r="Y12" s="65">
        <v>23</v>
      </c>
      <c r="Z12" s="65">
        <v>5</v>
      </c>
      <c r="AA12" s="65">
        <v>3</v>
      </c>
      <c r="AB12" s="65">
        <v>8</v>
      </c>
      <c r="AC12" s="65">
        <v>4</v>
      </c>
      <c r="AD12" s="65">
        <v>19</v>
      </c>
      <c r="AE12" s="65">
        <v>1</v>
      </c>
      <c r="AK12" s="53" t="s">
        <v>10</v>
      </c>
      <c r="AL12" s="66"/>
      <c r="AM12" s="66"/>
      <c r="AO12" s="80"/>
    </row>
    <row r="13" spans="2:53" s="21" customFormat="1" ht="18.75" customHeight="1" thickTop="1" thickBot="1" x14ac:dyDescent="0.2">
      <c r="B13" s="232" t="s">
        <v>161</v>
      </c>
      <c r="C13" s="233">
        <f t="shared" ref="C13:L13" si="6">SUM(C4:C12)</f>
        <v>1259</v>
      </c>
      <c r="D13" s="234">
        <f t="shared" si="6"/>
        <v>1</v>
      </c>
      <c r="E13" s="233">
        <f t="shared" si="6"/>
        <v>938</v>
      </c>
      <c r="F13" s="234">
        <f t="shared" si="6"/>
        <v>0.99999999999999989</v>
      </c>
      <c r="G13" s="233">
        <f t="shared" si="6"/>
        <v>184</v>
      </c>
      <c r="H13" s="234">
        <f t="shared" si="6"/>
        <v>1</v>
      </c>
      <c r="I13" s="233">
        <f t="shared" si="6"/>
        <v>78</v>
      </c>
      <c r="J13" s="234">
        <f t="shared" si="6"/>
        <v>1</v>
      </c>
      <c r="K13" s="233">
        <f t="shared" si="6"/>
        <v>2459</v>
      </c>
      <c r="L13" s="234">
        <f t="shared" si="6"/>
        <v>1</v>
      </c>
      <c r="O13" s="425" t="s">
        <v>308</v>
      </c>
      <c r="P13" s="489" t="s">
        <v>182</v>
      </c>
      <c r="Q13" s="489" t="s">
        <v>183</v>
      </c>
      <c r="R13" s="489" t="s">
        <v>184</v>
      </c>
      <c r="S13" s="489" t="s">
        <v>185</v>
      </c>
      <c r="T13" s="489" t="s">
        <v>186</v>
      </c>
      <c r="U13" s="489" t="s">
        <v>187</v>
      </c>
      <c r="V13" s="489" t="s">
        <v>188</v>
      </c>
      <c r="W13" s="489" t="s">
        <v>189</v>
      </c>
      <c r="X13" s="489" t="s">
        <v>190</v>
      </c>
      <c r="Y13" s="489" t="s">
        <v>191</v>
      </c>
      <c r="Z13" s="489" t="s">
        <v>192</v>
      </c>
      <c r="AA13" s="489" t="s">
        <v>193</v>
      </c>
      <c r="AB13" s="489" t="s">
        <v>194</v>
      </c>
      <c r="AC13" s="489" t="s">
        <v>195</v>
      </c>
      <c r="AD13" s="489" t="s">
        <v>196</v>
      </c>
      <c r="AE13" s="55" t="s">
        <v>197</v>
      </c>
      <c r="AK13" s="80"/>
      <c r="AL13" s="80"/>
      <c r="AO13" s="80"/>
    </row>
    <row r="14" spans="2:53" s="21" customFormat="1" ht="18.75" customHeight="1" thickTop="1" x14ac:dyDescent="0.15">
      <c r="B14" s="235" t="s">
        <v>93</v>
      </c>
      <c r="C14" s="236">
        <f>IFERROR(INDEX(年齢階層×在院期間区分F00F01_65歳未満以上[#All],MATCH($AK14,年齢階層×在院期間区分F00F01_65歳未満以上[[#All],[列1]],0),MATCH($AL$3,年齢階層×在院期間区分F00F01_65歳未満以上[#Headers],0)),0)+IFERROR(INDEX(年齢階層×在院期間区分F00F01_65歳未満以上[#All],MATCH($AK14,年齢階層×在院期間区分F00F01_65歳未満以上[[#All],[列1]],0),MATCH($AM$3,年齢階層×在院期間区分F00F01_65歳未満以上[#Headers],0)),0)+IFERROR(INDEX(年齢階層×在院期間区分F00F01_65歳未満以上[#All],MATCH($AK14,年齢階層×在院期間区分F00F01_65歳未満以上[[#All],[列1]],0),MATCH($AN$3,年齢階層×在院期間区分F00F01_65歳未満以上[#Headers],0)),0)+IFERROR(INDEX(年齢階層×在院期間区分F00F01_65歳未満以上[#All],MATCH($AK14,年齢階層×在院期間区分F00F01_65歳未満以上[[#All],[列1]],0),MATCH($AO$3,年齢階層×在院期間区分F00F01_65歳未満以上[#Headers],0)),0)</f>
        <v>38</v>
      </c>
      <c r="D14" s="207">
        <f>IFERROR(C14/$C$13,"-")</f>
        <v>3.0182684670373314E-2</v>
      </c>
      <c r="E14" s="236">
        <f>IFERROR(INDEX(年齢階層×在院期間区分F00F01_65歳未満以上[#All],MATCH($AK14,年齢階層×在院期間区分F00F01_65歳未満以上[[#All],[列1]],0),MATCH($AP$3,年齢階層×在院期間区分F00F01_65歳未満以上[#Headers],0)),0)+IFERROR(INDEX(年齢階層×在院期間区分F00F01_65歳未満以上[#All],MATCH($AK14,年齢階層×在院期間区分F00F01_65歳未満以上[[#All],[列1]],0),MATCH($AQ$3,年齢階層×在院期間区分F00F01_65歳未満以上[#Headers],0)),0)+IFERROR(INDEX(年齢階層×在院期間区分F00F01_65歳未満以上[#All],MATCH($AK14,年齢階層×在院期間区分F00F01_65歳未満以上[[#All],[列1]],0),MATCH($AR$3,年齢階層×在院期間区分F00F01_65歳未満以上[#Headers],0)),0)+IFERROR(INDEX(年齢階層×在院期間区分F00F01_65歳未満以上[#All],MATCH($AK14,年齢階層×在院期間区分F00F01_65歳未満以上[[#All],[列1]],0),MATCH($AS$3,年齢階層×在院期間区分F00F01_65歳未満以上[#Headers],0)),0)+IFERROR(INDEX(年齢階層×在院期間区分F00F01_65歳未満以上[#All],MATCH($AK14,年齢階層×在院期間区分F00F01_65歳未満以上[[#All],[列1]],0),MATCH($AT$3,年齢階層×在院期間区分F00F01_65歳未満以上[#Headers],0)),0)</f>
        <v>25</v>
      </c>
      <c r="F14" s="207">
        <f>IFERROR(E14/$E$13,"-")</f>
        <v>2.6652452025586353E-2</v>
      </c>
      <c r="G14" s="236">
        <f>IFERROR(INDEX(年齢階層×在院期間区分F00F01_65歳未満以上[#All],MATCH($AK14,年齢階層×在院期間区分F00F01_65歳未満以上[[#All],[列1]],0),MATCH($AU$3,年齢階層×在院期間区分F00F01_65歳未満以上[#Headers],0)),0)+IFERROR(INDEX(年齢階層×在院期間区分F00F01_65歳未満以上[#All],MATCH($AK14,年齢階層×在院期間区分F00F01_65歳未満以上[[#All],[列1]],0),MATCH($AV$3,年齢階層×在院期間区分F00F01_65歳未満以上[#Headers],0)),0)+IFERROR(INDEX(年齢階層×在院期間区分F00F01_65歳未満以上[#All],MATCH($AK14,年齢階層×在院期間区分F00F01_65歳未満以上[[#All],[列1]],0),MATCH($AW$3,年齢階層×在院期間区分F00F01_65歳未満以上[#Headers],0)),0)+IFERROR(INDEX(年齢階層×在院期間区分F00F01_65歳未満以上[#All],MATCH($AK14,年齢階層×在院期間区分F00F01_65歳未満以上[[#All],[列1]],0),MATCH($AX$3,年齢階層×在院期間区分F00F01_65歳未満以上[#Headers],0)),0)+IFERROR(INDEX(年齢階層×在院期間区分F00F01_65歳未満以上[#All],MATCH($AK14,年齢階層×在院期間区分F00F01_65歳未満以上[[#All],[列1]],0),MATCH($AY$3,年齢階層×在院期間区分F00F01_65歳未満以上[#Headers],0)),0)</f>
        <v>3</v>
      </c>
      <c r="H14" s="207">
        <f>IFERROR(G14/$G$13,"-")</f>
        <v>1.6304347826086956E-2</v>
      </c>
      <c r="I14" s="236">
        <f>IFERROR(INDEX(年齢階層×在院期間区分F00F01_65歳未満以上[#All],MATCH($AK14,年齢階層×在院期間区分F00F01_65歳未満以上[[#All],[列1]],0),MATCH($AZ$3,年齢階層×在院期間区分F00F01_65歳未満以上[#Headers],0)),0)+IFERROR(INDEX(年齢階層×在院期間区分F00F01_65歳未満以上[#All],MATCH($AK14,年齢階層×在院期間区分F00F01_65歳未満以上[[#All],[列1]],0),MATCH($BA$3,年齢階層×在院期間区分F00F01_65歳未満以上[#Headers],0)),0)</f>
        <v>2</v>
      </c>
      <c r="J14" s="207">
        <f>IFERROR(I14/$I$13,"-")</f>
        <v>2.564102564102564E-2</v>
      </c>
      <c r="K14" s="236">
        <f>SUM(C14,E14,G14,I14)</f>
        <v>68</v>
      </c>
      <c r="L14" s="207">
        <f>IFERROR(K14/$K$13,"-")</f>
        <v>2.7653517690117934E-2</v>
      </c>
      <c r="O14" s="53" t="s">
        <v>306</v>
      </c>
      <c r="P14" s="65">
        <v>9</v>
      </c>
      <c r="Q14" s="65">
        <v>9</v>
      </c>
      <c r="R14" s="65">
        <v>8</v>
      </c>
      <c r="S14" s="65">
        <v>12</v>
      </c>
      <c r="T14" s="65">
        <v>5</v>
      </c>
      <c r="U14" s="65">
        <v>3</v>
      </c>
      <c r="V14" s="65">
        <v>5</v>
      </c>
      <c r="W14" s="65">
        <v>7</v>
      </c>
      <c r="X14" s="65">
        <v>5</v>
      </c>
      <c r="Y14" s="65">
        <v>1</v>
      </c>
      <c r="Z14" s="65">
        <v>1</v>
      </c>
      <c r="AA14" s="65">
        <v>0</v>
      </c>
      <c r="AB14" s="65">
        <v>0</v>
      </c>
      <c r="AC14" s="65">
        <v>1</v>
      </c>
      <c r="AD14" s="65">
        <v>1</v>
      </c>
      <c r="AE14" s="65">
        <v>1</v>
      </c>
      <c r="AK14" s="82" t="s">
        <v>156</v>
      </c>
    </row>
    <row r="15" spans="2:53" s="21" customFormat="1" ht="18.75" customHeight="1" x14ac:dyDescent="0.15">
      <c r="B15" s="237" t="s">
        <v>89</v>
      </c>
      <c r="C15" s="236">
        <f>IFERROR(INDEX(年齢階層×在院期間区分F00F01_65歳未満以上[#All],MATCH($AK15,年齢階層×在院期間区分F00F01_65歳未満以上[[#All],[列1]],0),MATCH($AL$3,年齢階層×在院期間区分F00F01_65歳未満以上[#Headers],0)),0)+IFERROR(INDEX(年齢階層×在院期間区分F00F01_65歳未満以上[#All],MATCH($AK15,年齢階層×在院期間区分F00F01_65歳未満以上[[#All],[列1]],0),MATCH($AM$3,年齢階層×在院期間区分F00F01_65歳未満以上[#Headers],0)),0)+IFERROR(INDEX(年齢階層×在院期間区分F00F01_65歳未満以上[#All],MATCH($AK15,年齢階層×在院期間区分F00F01_65歳未満以上[[#All],[列1]],0),MATCH($AN$3,年齢階層×在院期間区分F00F01_65歳未満以上[#Headers],0)),0)+IFERROR(INDEX(年齢階層×在院期間区分F00F01_65歳未満以上[#All],MATCH($AK15,年齢階層×在院期間区分F00F01_65歳未満以上[[#All],[列1]],0),MATCH($AO$3,年齢階層×在院期間区分F00F01_65歳未満以上[#Headers],0)),0)</f>
        <v>1221</v>
      </c>
      <c r="D15" s="238">
        <f>IFERROR(C15/$C$13,"-")</f>
        <v>0.96981731532962667</v>
      </c>
      <c r="E15" s="236">
        <f>IFERROR(INDEX(年齢階層×在院期間区分F00F01_65歳未満以上[#All],MATCH($AK15,年齢階層×在院期間区分F00F01_65歳未満以上[[#All],[列1]],0),MATCH($AP$3,年齢階層×在院期間区分F00F01_65歳未満以上[#Headers],0)),0)+IFERROR(INDEX(年齢階層×在院期間区分F00F01_65歳未満以上[#All],MATCH($AK15,年齢階層×在院期間区分F00F01_65歳未満以上[[#All],[列1]],0),MATCH($AQ$3,年齢階層×在院期間区分F00F01_65歳未満以上[#Headers],0)),0)+IFERROR(INDEX(年齢階層×在院期間区分F00F01_65歳未満以上[#All],MATCH($AK15,年齢階層×在院期間区分F00F01_65歳未満以上[[#All],[列1]],0),MATCH($AR$3,年齢階層×在院期間区分F00F01_65歳未満以上[#Headers],0)),0)+IFERROR(INDEX(年齢階層×在院期間区分F00F01_65歳未満以上[#All],MATCH($AK15,年齢階層×在院期間区分F00F01_65歳未満以上[[#All],[列1]],0),MATCH($AS$3,年齢階層×在院期間区分F00F01_65歳未満以上[#Headers],0)),0)+IFERROR(INDEX(年齢階層×在院期間区分F00F01_65歳未満以上[#All],MATCH($AK15,年齢階層×在院期間区分F00F01_65歳未満以上[[#All],[列1]],0),MATCH($AT$3,年齢階層×在院期間区分F00F01_65歳未満以上[#Headers],0)),0)</f>
        <v>913</v>
      </c>
      <c r="F15" s="238">
        <f>IFERROR(E15/$E$13,"-")</f>
        <v>0.9733475479744137</v>
      </c>
      <c r="G15" s="236">
        <f>IFERROR(INDEX(年齢階層×在院期間区分F00F01_65歳未満以上[#All],MATCH($AK15,年齢階層×在院期間区分F00F01_65歳未満以上[[#All],[列1]],0),MATCH($AU$3,年齢階層×在院期間区分F00F01_65歳未満以上[#Headers],0)),0)+IFERROR(INDEX(年齢階層×在院期間区分F00F01_65歳未満以上[#All],MATCH($AK15,年齢階層×在院期間区分F00F01_65歳未満以上[[#All],[列1]],0),MATCH($AV$3,年齢階層×在院期間区分F00F01_65歳未満以上[#Headers],0)),0)+IFERROR(INDEX(年齢階層×在院期間区分F00F01_65歳未満以上[#All],MATCH($AK15,年齢階層×在院期間区分F00F01_65歳未満以上[[#All],[列1]],0),MATCH($AW$3,年齢階層×在院期間区分F00F01_65歳未満以上[#Headers],0)),0)+IFERROR(INDEX(年齢階層×在院期間区分F00F01_65歳未満以上[#All],MATCH($AK15,年齢階層×在院期間区分F00F01_65歳未満以上[[#All],[列1]],0),MATCH($AX$3,年齢階層×在院期間区分F00F01_65歳未満以上[#Headers],0)),0)+IFERROR(INDEX(年齢階層×在院期間区分F00F01_65歳未満以上[#All],MATCH($AK15,年齢階層×在院期間区分F00F01_65歳未満以上[[#All],[列1]],0),MATCH($AY$3,年齢階層×在院期間区分F00F01_65歳未満以上[#Headers],0)),0)</f>
        <v>181</v>
      </c>
      <c r="H15" s="238">
        <f>IFERROR(G15/$G$13,"-")</f>
        <v>0.98369565217391308</v>
      </c>
      <c r="I15" s="236">
        <f>IFERROR(INDEX(年齢階層×在院期間区分F00F01_65歳未満以上[#All],MATCH($AK15,年齢階層×在院期間区分F00F01_65歳未満以上[[#All],[列1]],0),MATCH($AZ$3,年齢階層×在院期間区分F00F01_65歳未満以上[#Headers],0)),0)+IFERROR(INDEX(年齢階層×在院期間区分F00F01_65歳未満以上[#All],MATCH($AK15,年齢階層×在院期間区分F00F01_65歳未満以上[[#All],[列1]],0),MATCH($BA$3,年齢階層×在院期間区分F00F01_65歳未満以上[#Headers],0)),0)</f>
        <v>76</v>
      </c>
      <c r="J15" s="238">
        <f>IFERROR(I15/$I$13,"-")</f>
        <v>0.97435897435897434</v>
      </c>
      <c r="K15" s="236">
        <f>C15+E15+G15+I15</f>
        <v>2391</v>
      </c>
      <c r="L15" s="238">
        <f>IFERROR(K15/$K$13,"-")</f>
        <v>0.97234648230988208</v>
      </c>
      <c r="O15" s="82" t="s">
        <v>307</v>
      </c>
      <c r="P15" s="65">
        <v>248</v>
      </c>
      <c r="Q15" s="65">
        <v>384</v>
      </c>
      <c r="R15" s="65">
        <v>224</v>
      </c>
      <c r="S15" s="65">
        <v>365</v>
      </c>
      <c r="T15" s="65">
        <v>227</v>
      </c>
      <c r="U15" s="65">
        <v>163</v>
      </c>
      <c r="V15" s="65">
        <v>251</v>
      </c>
      <c r="W15" s="65">
        <v>166</v>
      </c>
      <c r="X15" s="65">
        <v>106</v>
      </c>
      <c r="Y15" s="65">
        <v>83</v>
      </c>
      <c r="Z15" s="65">
        <v>32</v>
      </c>
      <c r="AA15" s="65">
        <v>22</v>
      </c>
      <c r="AB15" s="65">
        <v>24</v>
      </c>
      <c r="AC15" s="65">
        <v>20</v>
      </c>
      <c r="AD15" s="65">
        <v>67</v>
      </c>
      <c r="AE15" s="65">
        <v>9</v>
      </c>
      <c r="AK15" s="82" t="s">
        <v>88</v>
      </c>
    </row>
    <row r="16" spans="2:53" ht="18.75" customHeight="1" x14ac:dyDescent="0.15"/>
    <row r="17" spans="2:41" ht="18.75" customHeight="1" x14ac:dyDescent="0.15">
      <c r="B17" s="2" t="s">
        <v>164</v>
      </c>
    </row>
    <row r="18" spans="2:41" ht="18.75" customHeight="1" thickBot="1" x14ac:dyDescent="0.2">
      <c r="B18" s="961" t="s">
        <v>65</v>
      </c>
      <c r="C18" s="963" t="s">
        <v>64</v>
      </c>
      <c r="D18" s="964"/>
      <c r="E18" s="964"/>
      <c r="F18" s="964"/>
      <c r="G18" s="964"/>
      <c r="H18" s="964"/>
      <c r="I18" s="964"/>
      <c r="J18" s="964"/>
      <c r="K18" s="964"/>
      <c r="L18" s="965"/>
      <c r="O18" s="33" t="s">
        <v>63</v>
      </c>
    </row>
    <row r="19" spans="2:41" ht="18.75" customHeight="1" thickTop="1" thickBot="1" x14ac:dyDescent="0.2">
      <c r="B19" s="962"/>
      <c r="C19" s="966" t="s">
        <v>69</v>
      </c>
      <c r="D19" s="967"/>
      <c r="E19" s="966" t="s">
        <v>70</v>
      </c>
      <c r="F19" s="967"/>
      <c r="G19" s="966" t="s">
        <v>71</v>
      </c>
      <c r="H19" s="967"/>
      <c r="I19" s="966" t="s">
        <v>72</v>
      </c>
      <c r="J19" s="967"/>
      <c r="K19" s="966" t="s">
        <v>62</v>
      </c>
      <c r="L19" s="967"/>
      <c r="O19" s="425" t="s">
        <v>373</v>
      </c>
      <c r="P19" s="489" t="s">
        <v>182</v>
      </c>
      <c r="Q19" s="489" t="s">
        <v>183</v>
      </c>
      <c r="R19" s="489" t="s">
        <v>184</v>
      </c>
      <c r="S19" s="489" t="s">
        <v>185</v>
      </c>
      <c r="T19" s="489" t="s">
        <v>186</v>
      </c>
      <c r="U19" s="489" t="s">
        <v>187</v>
      </c>
      <c r="V19" s="489" t="s">
        <v>188</v>
      </c>
      <c r="W19" s="489" t="s">
        <v>189</v>
      </c>
      <c r="X19" s="489" t="s">
        <v>190</v>
      </c>
      <c r="Y19" s="474" t="s">
        <v>191</v>
      </c>
      <c r="Z19" s="474" t="s">
        <v>192</v>
      </c>
      <c r="AA19" s="489" t="s">
        <v>193</v>
      </c>
      <c r="AB19" s="489" t="s">
        <v>194</v>
      </c>
      <c r="AC19" s="489" t="s">
        <v>195</v>
      </c>
      <c r="AD19" s="489" t="s">
        <v>196</v>
      </c>
      <c r="AE19" s="55" t="s">
        <v>197</v>
      </c>
    </row>
    <row r="20" spans="2:41" s="21" customFormat="1" ht="18.75" customHeight="1" thickTop="1" x14ac:dyDescent="0.15">
      <c r="B20" s="225" t="s">
        <v>2</v>
      </c>
      <c r="C20" s="226">
        <f>IFERROR(INDEX(年齢階層×在院期間区分F00F01＿寛解・院内寛解[#All],MATCH($AK4,年齢階層×在院期間区分F00F01＿寛解・院内寛解[[#All],[行ラベル]],0),MATCH($AL$3,年齢階層×在院期間区分F00F01＿寛解・院内寛解[#Headers],0)),0)+IFERROR(INDEX(年齢階層×在院期間区分F00F01＿寛解・院内寛解[#All],MATCH($AK4,年齢階層×在院期間区分F00F01＿寛解・院内寛解[[#All],[行ラベル]],0),MATCH($AM$3,年齢階層×在院期間区分F00F01＿寛解・院内寛解[#Headers],0)),0)+IFERROR(INDEX(年齢階層×在院期間区分F00F01＿寛解・院内寛解[#All],MATCH($AK4,年齢階層×在院期間区分F00F01＿寛解・院内寛解[[#All],[行ラベル]],0),MATCH($AN$3,年齢階層×在院期間区分F00F01＿寛解・院内寛解[#Headers],0)),0)+IFERROR(INDEX(年齢階層×在院期間区分F00F01＿寛解・院内寛解[#All],MATCH($AK4,年齢階層×在院期間区分F00F01＿寛解・院内寛解[[#All],[行ラベル]],0),MATCH($AO$3,年齢階層×在院期間区分F00F01＿寛解・院内寛解[#Headers],0)),0)</f>
        <v>0</v>
      </c>
      <c r="D20" s="239">
        <f t="shared" ref="D20:D28" si="7">IFERROR(C20/$C$29,"-")</f>
        <v>0</v>
      </c>
      <c r="E20" s="226">
        <f>IFERROR(INDEX(年齢階層×在院期間区分F00F01＿寛解・院内寛解[#All],MATCH($AK4,年齢階層×在院期間区分F00F01＿寛解・院内寛解[[#All],[行ラベル]],0),MATCH($AP$3,年齢階層×在院期間区分F00F01＿寛解・院内寛解[#Headers],0)),0)+IFERROR(INDEX(年齢階層×在院期間区分F00F01＿寛解・院内寛解[#All],MATCH($AK4,年齢階層×在院期間区分F00F01＿寛解・院内寛解[[#All],[行ラベル]],0),MATCH($AQ$3,年齢階層×在院期間区分F00F01＿寛解・院内寛解[#Headers],0)),0)+IFERROR(INDEX(年齢階層×在院期間区分F00F01＿寛解・院内寛解[#All],MATCH($AK4,年齢階層×在院期間区分F00F01＿寛解・院内寛解[[#All],[行ラベル]],0),MATCH($AR$3,年齢階層×在院期間区分F00F01＿寛解・院内寛解[#Headers],0)),0)+IFERROR(INDEX(年齢階層×在院期間区分F00F01＿寛解・院内寛解[#All],MATCH($AK4,年齢階層×在院期間区分F00F01＿寛解・院内寛解[[#All],[行ラベル]],0),MATCH($AS$3,年齢階層×在院期間区分F00F01＿寛解・院内寛解[#Headers],0)),0)+IFERROR(INDEX(年齢階層×在院期間区分F00F01＿寛解・院内寛解[#All],MATCH($AK4,年齢階層×在院期間区分F00F01＿寛解・院内寛解[[#All],[行ラベル]],0),MATCH($AT$3,年齢階層×在院期間区分F00F01＿寛解・院内寛解[#Headers],0)),0)</f>
        <v>0</v>
      </c>
      <c r="F20" s="239">
        <f t="shared" ref="F20:F28" si="8">IFERROR(E20/$E$29,"-")</f>
        <v>0</v>
      </c>
      <c r="G20" s="220">
        <f>IFERROR(INDEX(年齢階層×在院期間区分F00F01＿寛解・院内寛解[#All],MATCH($AK4,年齢階層×在院期間区分F00F01＿寛解・院内寛解[[#All],[行ラベル]],0),MATCH($AU$3,年齢階層×在院期間区分F00F01＿寛解・院内寛解[#Headers],0)),0)+IFERROR(INDEX(年齢階層×在院期間区分F00F01＿寛解・院内寛解[#All],MATCH($AK4,年齢階層×在院期間区分F00F01＿寛解・院内寛解[[#All],[行ラベル]],0),MATCH($AV$3,年齢階層×在院期間区分F00F01＿寛解・院内寛解[#Headers],0)),0)+IFERROR(INDEX(年齢階層×在院期間区分F00F01＿寛解・院内寛解[#All],MATCH($AK4,年齢階層×在院期間区分F00F01＿寛解・院内寛解[[#All],[行ラベル]],0),MATCH($AW$3,年齢階層×在院期間区分F00F01＿寛解・院内寛解[#Headers],0)),0)+IFERROR(INDEX(年齢階層×在院期間区分F00F01＿寛解・院内寛解[#All],MATCH($AK4,年齢階層×在院期間区分F00F01＿寛解・院内寛解[[#All],[行ラベル]],0),MATCH($AX$3,年齢階層×在院期間区分F00F01＿寛解・院内寛解[#Headers],0)),0)+IFERROR(INDEX(年齢階層×在院期間区分F00F01＿寛解・院内寛解[#All],MATCH($AK4,年齢階層×在院期間区分F00F01＿寛解・院内寛解[[#All],[行ラベル]],0),MATCH($AY$3,年齢階層×在院期間区分F00F01＿寛解・院内寛解[#Headers],0)),0)</f>
        <v>0</v>
      </c>
      <c r="H20" s="239">
        <f t="shared" ref="H20:H28" si="9">IFERROR(G20/$G$29,"-")</f>
        <v>0</v>
      </c>
      <c r="I20" s="226">
        <f>IFERROR(INDEX(年齢階層×在院期間区分F00F01＿寛解・院内寛解[#All],MATCH($AK4,年齢階層×在院期間区分F00F01＿寛解・院内寛解[[#All],[行ラベル]],0),MATCH($AZ$3,年齢階層×在院期間区分F00F01＿寛解・院内寛解[#Headers],0)),0)+IFERROR(INDEX(年齢階層×在院期間区分F00F01＿寛解・院内寛解[#All],MATCH($AK4,年齢階層×在院期間区分F00F01＿寛解・院内寛解[[#All],[行ラベル]],0),MATCH($BA$3,年齢階層×在院期間区分F00F01＿寛解・院内寛解[#Headers],0)),0)</f>
        <v>0</v>
      </c>
      <c r="J20" s="239">
        <f t="shared" ref="J20:J28" si="10">IFERROR(I20/$I$29,"-")</f>
        <v>0</v>
      </c>
      <c r="K20" s="220">
        <f t="shared" ref="K20:K28" si="11">SUM(C20,E20,G20,I20)</f>
        <v>0</v>
      </c>
      <c r="L20" s="239">
        <f t="shared" ref="L20:L28" si="12">IFERROR(K20/$K$29,"-")</f>
        <v>0</v>
      </c>
      <c r="O20" s="53" t="s">
        <v>2</v>
      </c>
      <c r="P20" s="65">
        <v>0</v>
      </c>
      <c r="Q20" s="65">
        <v>0</v>
      </c>
      <c r="R20" s="65">
        <v>0</v>
      </c>
      <c r="S20" s="65">
        <v>0</v>
      </c>
      <c r="T20" s="65">
        <v>0</v>
      </c>
      <c r="U20" s="65">
        <v>0</v>
      </c>
      <c r="V20" s="65">
        <v>0</v>
      </c>
      <c r="W20" s="65">
        <v>0</v>
      </c>
      <c r="X20" s="65">
        <v>0</v>
      </c>
      <c r="Y20" s="65">
        <v>0</v>
      </c>
      <c r="Z20" s="65">
        <v>0</v>
      </c>
      <c r="AA20" s="65">
        <v>0</v>
      </c>
      <c r="AB20" s="65">
        <v>0</v>
      </c>
      <c r="AC20" s="65">
        <v>0</v>
      </c>
      <c r="AD20" s="65">
        <v>0</v>
      </c>
      <c r="AE20" s="65">
        <v>0</v>
      </c>
      <c r="AK20" s="53" t="s">
        <v>2</v>
      </c>
    </row>
    <row r="21" spans="2:41" s="21" customFormat="1" ht="18.75" customHeight="1" x14ac:dyDescent="0.15">
      <c r="B21" s="227" t="s">
        <v>3</v>
      </c>
      <c r="C21" s="228">
        <f>IFERROR(INDEX(年齢階層×在院期間区分F00F01＿寛解・院内寛解[#All],MATCH($AK5,年齢階層×在院期間区分F00F01＿寛解・院内寛解[[#All],[行ラベル]],0),MATCH($AL$3,年齢階層×在院期間区分F00F01＿寛解・院内寛解[#Headers],0)),0)+IFERROR(INDEX(年齢階層×在院期間区分F00F01＿寛解・院内寛解[#All],MATCH($AK5,年齢階層×在院期間区分F00F01＿寛解・院内寛解[[#All],[行ラベル]],0),MATCH($AM$3,年齢階層×在院期間区分F00F01＿寛解・院内寛解[#Headers],0)),0)+IFERROR(INDEX(年齢階層×在院期間区分F00F01＿寛解・院内寛解[#All],MATCH($AK5,年齢階層×在院期間区分F00F01＿寛解・院内寛解[[#All],[行ラベル]],0),MATCH($AN$3,年齢階層×在院期間区分F00F01＿寛解・院内寛解[#Headers],0)),0)+IFERROR(INDEX(年齢階層×在院期間区分F00F01＿寛解・院内寛解[#All],MATCH($AK5,年齢階層×在院期間区分F00F01＿寛解・院内寛解[[#All],[行ラベル]],0),MATCH($AO$3,年齢階層×在院期間区分F00F01＿寛解・院内寛解[#Headers],0)),0)</f>
        <v>0</v>
      </c>
      <c r="D21" s="206">
        <f t="shared" si="7"/>
        <v>0</v>
      </c>
      <c r="E21" s="228">
        <f>IFERROR(INDEX(年齢階層×在院期間区分F00F01＿寛解・院内寛解[#All],MATCH($AK5,年齢階層×在院期間区分F00F01＿寛解・院内寛解[[#All],[行ラベル]],0),MATCH($AP$3,年齢階層×在院期間区分F00F01＿寛解・院内寛解[#Headers],0)),0)+IFERROR(INDEX(年齢階層×在院期間区分F00F01＿寛解・院内寛解[#All],MATCH($AK5,年齢階層×在院期間区分F00F01＿寛解・院内寛解[[#All],[行ラベル]],0),MATCH($AQ$3,年齢階層×在院期間区分F00F01＿寛解・院内寛解[#Headers],0)),0)+IFERROR(INDEX(年齢階層×在院期間区分F00F01＿寛解・院内寛解[#All],MATCH($AK5,年齢階層×在院期間区分F00F01＿寛解・院内寛解[[#All],[行ラベル]],0),MATCH($AR$3,年齢階層×在院期間区分F00F01＿寛解・院内寛解[#Headers],0)),0)+IFERROR(INDEX(年齢階層×在院期間区分F00F01＿寛解・院内寛解[#All],MATCH($AK5,年齢階層×在院期間区分F00F01＿寛解・院内寛解[[#All],[行ラベル]],0),MATCH($AS$3,年齢階層×在院期間区分F00F01＿寛解・院内寛解[#Headers],0)),0)+IFERROR(INDEX(年齢階層×在院期間区分F00F01＿寛解・院内寛解[#All],MATCH($AK5,年齢階層×在院期間区分F00F01＿寛解・院内寛解[[#All],[行ラベル]],0),MATCH($AT$3,年齢階層×在院期間区分F00F01＿寛解・院内寛解[#Headers],0)),0)</f>
        <v>0</v>
      </c>
      <c r="F21" s="206">
        <f t="shared" si="8"/>
        <v>0</v>
      </c>
      <c r="G21" s="205">
        <f>IFERROR(INDEX(年齢階層×在院期間区分F00F01＿寛解・院内寛解[#All],MATCH($AK5,年齢階層×在院期間区分F00F01＿寛解・院内寛解[[#All],[行ラベル]],0),MATCH($AU$3,年齢階層×在院期間区分F00F01＿寛解・院内寛解[#Headers],0)),0)+IFERROR(INDEX(年齢階層×在院期間区分F00F01＿寛解・院内寛解[#All],MATCH($AK5,年齢階層×在院期間区分F00F01＿寛解・院内寛解[[#All],[行ラベル]],0),MATCH($AV$3,年齢階層×在院期間区分F00F01＿寛解・院内寛解[#Headers],0)),0)+IFERROR(INDEX(年齢階層×在院期間区分F00F01＿寛解・院内寛解[#All],MATCH($AK5,年齢階層×在院期間区分F00F01＿寛解・院内寛解[[#All],[行ラベル]],0),MATCH($AW$3,年齢階層×在院期間区分F00F01＿寛解・院内寛解[#Headers],0)),0)+IFERROR(INDEX(年齢階層×在院期間区分F00F01＿寛解・院内寛解[#All],MATCH($AK5,年齢階層×在院期間区分F00F01＿寛解・院内寛解[[#All],[行ラベル]],0),MATCH($AX$3,年齢階層×在院期間区分F00F01＿寛解・院内寛解[#Headers],0)),0)+IFERROR(INDEX(年齢階層×在院期間区分F00F01＿寛解・院内寛解[#All],MATCH($AK5,年齢階層×在院期間区分F00F01＿寛解・院内寛解[[#All],[行ラベル]],0),MATCH($AY$3,年齢階層×在院期間区分F00F01＿寛解・院内寛解[#Headers],0)),0)</f>
        <v>0</v>
      </c>
      <c r="H21" s="206">
        <f t="shared" si="9"/>
        <v>0</v>
      </c>
      <c r="I21" s="228">
        <f>IFERROR(INDEX(年齢階層×在院期間区分F00F01＿寛解・院内寛解[#All],MATCH($AK5,年齢階層×在院期間区分F00F01＿寛解・院内寛解[[#All],[行ラベル]],0),MATCH($AZ$3,年齢階層×在院期間区分F00F01＿寛解・院内寛解[#Headers],0)),0)+IFERROR(INDEX(年齢階層×在院期間区分F00F01＿寛解・院内寛解[#All],MATCH($AK5,年齢階層×在院期間区分F00F01＿寛解・院内寛解[[#All],[行ラベル]],0),MATCH($BA$3,年齢階層×在院期間区分F00F01＿寛解・院内寛解[#Headers],0)),0)</f>
        <v>0</v>
      </c>
      <c r="J21" s="206">
        <f t="shared" si="10"/>
        <v>0</v>
      </c>
      <c r="K21" s="205">
        <f t="shared" si="11"/>
        <v>0</v>
      </c>
      <c r="L21" s="206">
        <f t="shared" si="12"/>
        <v>0</v>
      </c>
      <c r="O21" s="53" t="s">
        <v>3</v>
      </c>
      <c r="P21" s="65">
        <v>0</v>
      </c>
      <c r="Q21" s="65">
        <v>0</v>
      </c>
      <c r="R21" s="65">
        <v>0</v>
      </c>
      <c r="S21" s="65">
        <v>0</v>
      </c>
      <c r="T21" s="65">
        <v>0</v>
      </c>
      <c r="U21" s="65">
        <v>0</v>
      </c>
      <c r="V21" s="65">
        <v>0</v>
      </c>
      <c r="W21" s="65">
        <v>0</v>
      </c>
      <c r="X21" s="65">
        <v>0</v>
      </c>
      <c r="Y21" s="65">
        <v>0</v>
      </c>
      <c r="Z21" s="65">
        <v>0</v>
      </c>
      <c r="AA21" s="65">
        <v>0</v>
      </c>
      <c r="AB21" s="65">
        <v>0</v>
      </c>
      <c r="AC21" s="65">
        <v>0</v>
      </c>
      <c r="AD21" s="65">
        <v>0</v>
      </c>
      <c r="AE21" s="65">
        <v>0</v>
      </c>
      <c r="AK21" s="53" t="s">
        <v>3</v>
      </c>
    </row>
    <row r="22" spans="2:41" s="21" customFormat="1" ht="18.75" customHeight="1" x14ac:dyDescent="0.15">
      <c r="B22" s="227" t="s">
        <v>4</v>
      </c>
      <c r="C22" s="205">
        <f>IFERROR(INDEX(年齢階層×在院期間区分F00F01＿寛解・院内寛解[#All],MATCH($AK6,年齢階層×在院期間区分F00F01＿寛解・院内寛解[[#All],[行ラベル]],0),MATCH($AL$3,年齢階層×在院期間区分F00F01＿寛解・院内寛解[#Headers],0)),0)+IFERROR(INDEX(年齢階層×在院期間区分F00F01＿寛解・院内寛解[#All],MATCH($AK6,年齢階層×在院期間区分F00F01＿寛解・院内寛解[[#All],[行ラベル]],0),MATCH($AM$3,年齢階層×在院期間区分F00F01＿寛解・院内寛解[#Headers],0)),0)+IFERROR(INDEX(年齢階層×在院期間区分F00F01＿寛解・院内寛解[#All],MATCH($AK6,年齢階層×在院期間区分F00F01＿寛解・院内寛解[[#All],[行ラベル]],0),MATCH($AN$3,年齢階層×在院期間区分F00F01＿寛解・院内寛解[#Headers],0)),0)+IFERROR(INDEX(年齢階層×在院期間区分F00F01＿寛解・院内寛解[#All],MATCH($AK6,年齢階層×在院期間区分F00F01＿寛解・院内寛解[[#All],[行ラベル]],0),MATCH($AO$3,年齢階層×在院期間区分F00F01＿寛解・院内寛解[#Headers],0)),0)</f>
        <v>0</v>
      </c>
      <c r="D22" s="206">
        <f t="shared" si="7"/>
        <v>0</v>
      </c>
      <c r="E22" s="228">
        <f>IFERROR(INDEX(年齢階層×在院期間区分F00F01＿寛解・院内寛解[#All],MATCH($AK6,年齢階層×在院期間区分F00F01＿寛解・院内寛解[[#All],[行ラベル]],0),MATCH($AP$3,年齢階層×在院期間区分F00F01＿寛解・院内寛解[#Headers],0)),0)+IFERROR(INDEX(年齢階層×在院期間区分F00F01＿寛解・院内寛解[#All],MATCH($AK6,年齢階層×在院期間区分F00F01＿寛解・院内寛解[[#All],[行ラベル]],0),MATCH($AQ$3,年齢階層×在院期間区分F00F01＿寛解・院内寛解[#Headers],0)),0)+IFERROR(INDEX(年齢階層×在院期間区分F00F01＿寛解・院内寛解[#All],MATCH($AK6,年齢階層×在院期間区分F00F01＿寛解・院内寛解[[#All],[行ラベル]],0),MATCH($AR$3,年齢階層×在院期間区分F00F01＿寛解・院内寛解[#Headers],0)),0)+IFERROR(INDEX(年齢階層×在院期間区分F00F01＿寛解・院内寛解[#All],MATCH($AK6,年齢階層×在院期間区分F00F01＿寛解・院内寛解[[#All],[行ラベル]],0),MATCH($AS$3,年齢階層×在院期間区分F00F01＿寛解・院内寛解[#Headers],0)),0)+IFERROR(INDEX(年齢階層×在院期間区分F00F01＿寛解・院内寛解[#All],MATCH($AK6,年齢階層×在院期間区分F00F01＿寛解・院内寛解[[#All],[行ラベル]],0),MATCH($AT$3,年齢階層×在院期間区分F00F01＿寛解・院内寛解[#Headers],0)),0)</f>
        <v>0</v>
      </c>
      <c r="F22" s="206">
        <f t="shared" si="8"/>
        <v>0</v>
      </c>
      <c r="G22" s="229">
        <f>IFERROR(INDEX(年齢階層×在院期間区分F00F01＿寛解・院内寛解[#All],MATCH($AK6,年齢階層×在院期間区分F00F01＿寛解・院内寛解[[#All],[行ラベル]],0),MATCH($AU$3,年齢階層×在院期間区分F00F01＿寛解・院内寛解[#Headers],0)),0)+IFERROR(INDEX(年齢階層×在院期間区分F00F01＿寛解・院内寛解[#All],MATCH($AK6,年齢階層×在院期間区分F00F01＿寛解・院内寛解[[#All],[行ラベル]],0),MATCH($AV$3,年齢階層×在院期間区分F00F01＿寛解・院内寛解[#Headers],0)),0)+IFERROR(INDEX(年齢階層×在院期間区分F00F01＿寛解・院内寛解[#All],MATCH($AK6,年齢階層×在院期間区分F00F01＿寛解・院内寛解[[#All],[行ラベル]],0),MATCH($AW$3,年齢階層×在院期間区分F00F01＿寛解・院内寛解[#Headers],0)),0)+IFERROR(INDEX(年齢階層×在院期間区分F00F01＿寛解・院内寛解[#All],MATCH($AK6,年齢階層×在院期間区分F00F01＿寛解・院内寛解[[#All],[行ラベル]],0),MATCH($AX$3,年齢階層×在院期間区分F00F01＿寛解・院内寛解[#Headers],0)),0)+IFERROR(INDEX(年齢階層×在院期間区分F00F01＿寛解・院内寛解[#All],MATCH($AK6,年齢階層×在院期間区分F00F01＿寛解・院内寛解[[#All],[行ラベル]],0),MATCH($AY$3,年齢階層×在院期間区分F00F01＿寛解・院内寛解[#Headers],0)),0)</f>
        <v>0</v>
      </c>
      <c r="H22" s="206">
        <f t="shared" si="9"/>
        <v>0</v>
      </c>
      <c r="I22" s="205">
        <f>IFERROR(INDEX(年齢階層×在院期間区分F00F01＿寛解・院内寛解[#All],MATCH($AK6,年齢階層×在院期間区分F00F01＿寛解・院内寛解[[#All],[行ラベル]],0),MATCH($AZ$3,年齢階層×在院期間区分F00F01＿寛解・院内寛解[#Headers],0)),0)+IFERROR(INDEX(年齢階層×在院期間区分F00F01＿寛解・院内寛解[#All],MATCH($AK6,年齢階層×在院期間区分F00F01＿寛解・院内寛解[[#All],[行ラベル]],0),MATCH($BA$3,年齢階層×在院期間区分F00F01＿寛解・院内寛解[#Headers],0)),0)</f>
        <v>0</v>
      </c>
      <c r="J22" s="206">
        <f t="shared" si="10"/>
        <v>0</v>
      </c>
      <c r="K22" s="205">
        <f t="shared" si="11"/>
        <v>0</v>
      </c>
      <c r="L22" s="206">
        <f t="shared" si="12"/>
        <v>0</v>
      </c>
      <c r="O22" s="53" t="s">
        <v>4</v>
      </c>
      <c r="P22" s="65">
        <v>0</v>
      </c>
      <c r="Q22" s="65">
        <v>0</v>
      </c>
      <c r="R22" s="65">
        <v>0</v>
      </c>
      <c r="S22" s="65">
        <v>0</v>
      </c>
      <c r="T22" s="65">
        <v>0</v>
      </c>
      <c r="U22" s="65">
        <v>0</v>
      </c>
      <c r="V22" s="65">
        <v>0</v>
      </c>
      <c r="W22" s="65">
        <v>0</v>
      </c>
      <c r="X22" s="65">
        <v>0</v>
      </c>
      <c r="Y22" s="65">
        <v>0</v>
      </c>
      <c r="Z22" s="65">
        <v>0</v>
      </c>
      <c r="AA22" s="65">
        <v>0</v>
      </c>
      <c r="AB22" s="65">
        <v>0</v>
      </c>
      <c r="AC22" s="65">
        <v>0</v>
      </c>
      <c r="AD22" s="65">
        <v>0</v>
      </c>
      <c r="AE22" s="65">
        <v>0</v>
      </c>
      <c r="AK22" s="53" t="s">
        <v>4</v>
      </c>
    </row>
    <row r="23" spans="2:41" s="21" customFormat="1" ht="18.75" customHeight="1" x14ac:dyDescent="0.15">
      <c r="B23" s="227" t="s">
        <v>5</v>
      </c>
      <c r="C23" s="205">
        <f>IFERROR(INDEX(年齢階層×在院期間区分F00F01＿寛解・院内寛解[#All],MATCH($AK7,年齢階層×在院期間区分F00F01＿寛解・院内寛解[[#All],[行ラベル]],0),MATCH($AL$3,年齢階層×在院期間区分F00F01＿寛解・院内寛解[#Headers],0)),0)+IFERROR(INDEX(年齢階層×在院期間区分F00F01＿寛解・院内寛解[#All],MATCH($AK7,年齢階層×在院期間区分F00F01＿寛解・院内寛解[[#All],[行ラベル]],0),MATCH($AM$3,年齢階層×在院期間区分F00F01＿寛解・院内寛解[#Headers],0)),0)+IFERROR(INDEX(年齢階層×在院期間区分F00F01＿寛解・院内寛解[#All],MATCH($AK7,年齢階層×在院期間区分F00F01＿寛解・院内寛解[[#All],[行ラベル]],0),MATCH($AN$3,年齢階層×在院期間区分F00F01＿寛解・院内寛解[#Headers],0)),0)+IFERROR(INDEX(年齢階層×在院期間区分F00F01＿寛解・院内寛解[#All],MATCH($AK7,年齢階層×在院期間区分F00F01＿寛解・院内寛解[[#All],[行ラベル]],0),MATCH($AO$3,年齢階層×在院期間区分F00F01＿寛解・院内寛解[#Headers],0)),0)</f>
        <v>0</v>
      </c>
      <c r="D23" s="206">
        <f t="shared" si="7"/>
        <v>0</v>
      </c>
      <c r="E23" s="205">
        <f>IFERROR(INDEX(年齢階層×在院期間区分F00F01＿寛解・院内寛解[#All],MATCH($AK7,年齢階層×在院期間区分F00F01＿寛解・院内寛解[[#All],[行ラベル]],0),MATCH($AP$3,年齢階層×在院期間区分F00F01＿寛解・院内寛解[#Headers],0)),0)+IFERROR(INDEX(年齢階層×在院期間区分F00F01＿寛解・院内寛解[#All],MATCH($AK7,年齢階層×在院期間区分F00F01＿寛解・院内寛解[[#All],[行ラベル]],0),MATCH($AQ$3,年齢階層×在院期間区分F00F01＿寛解・院内寛解[#Headers],0)),0)+IFERROR(INDEX(年齢階層×在院期間区分F00F01＿寛解・院内寛解[#All],MATCH($AK7,年齢階層×在院期間区分F00F01＿寛解・院内寛解[[#All],[行ラベル]],0),MATCH($AR$3,年齢階層×在院期間区分F00F01＿寛解・院内寛解[#Headers],0)),0)+IFERROR(INDEX(年齢階層×在院期間区分F00F01＿寛解・院内寛解[#All],MATCH($AK7,年齢階層×在院期間区分F00F01＿寛解・院内寛解[[#All],[行ラベル]],0),MATCH($AS$3,年齢階層×在院期間区分F00F01＿寛解・院内寛解[#Headers],0)),0)+IFERROR(INDEX(年齢階層×在院期間区分F00F01＿寛解・院内寛解[#All],MATCH($AK7,年齢階層×在院期間区分F00F01＿寛解・院内寛解[[#All],[行ラベル]],0),MATCH($AT$3,年齢階層×在院期間区分F00F01＿寛解・院内寛解[#Headers],0)),0)</f>
        <v>0</v>
      </c>
      <c r="F23" s="206">
        <f t="shared" si="8"/>
        <v>0</v>
      </c>
      <c r="G23" s="205">
        <f>IFERROR(INDEX(年齢階層×在院期間区分F00F01＿寛解・院内寛解[#All],MATCH($AK7,年齢階層×在院期間区分F00F01＿寛解・院内寛解[[#All],[行ラベル]],0),MATCH($AU$3,年齢階層×在院期間区分F00F01＿寛解・院内寛解[#Headers],0)),0)+IFERROR(INDEX(年齢階層×在院期間区分F00F01＿寛解・院内寛解[#All],MATCH($AK7,年齢階層×在院期間区分F00F01＿寛解・院内寛解[[#All],[行ラベル]],0),MATCH($AV$3,年齢階層×在院期間区分F00F01＿寛解・院内寛解[#Headers],0)),0)+IFERROR(INDEX(年齢階層×在院期間区分F00F01＿寛解・院内寛解[#All],MATCH($AK7,年齢階層×在院期間区分F00F01＿寛解・院内寛解[[#All],[行ラベル]],0),MATCH($AW$3,年齢階層×在院期間区分F00F01＿寛解・院内寛解[#Headers],0)),0)+IFERROR(INDEX(年齢階層×在院期間区分F00F01＿寛解・院内寛解[#All],MATCH($AK7,年齢階層×在院期間区分F00F01＿寛解・院内寛解[[#All],[行ラベル]],0),MATCH($AX$3,年齢階層×在院期間区分F00F01＿寛解・院内寛解[#Headers],0)),0)+IFERROR(INDEX(年齢階層×在院期間区分F00F01＿寛解・院内寛解[#All],MATCH($AK7,年齢階層×在院期間区分F00F01＿寛解・院内寛解[[#All],[行ラベル]],0),MATCH($AY$3,年齢階層×在院期間区分F00F01＿寛解・院内寛解[#Headers],0)),0)</f>
        <v>0</v>
      </c>
      <c r="H23" s="206">
        <f t="shared" si="9"/>
        <v>0</v>
      </c>
      <c r="I23" s="205">
        <f>IFERROR(INDEX(年齢階層×在院期間区分F00F01＿寛解・院内寛解[#All],MATCH($AK7,年齢階層×在院期間区分F00F01＿寛解・院内寛解[[#All],[行ラベル]],0),MATCH($AZ$3,年齢階層×在院期間区分F00F01＿寛解・院内寛解[#Headers],0)),0)+IFERROR(INDEX(年齢階層×在院期間区分F00F01＿寛解・院内寛解[#All],MATCH($AK7,年齢階層×在院期間区分F00F01＿寛解・院内寛解[[#All],[行ラベル]],0),MATCH($BA$3,年齢階層×在院期間区分F00F01＿寛解・院内寛解[#Headers],0)),0)</f>
        <v>0</v>
      </c>
      <c r="J23" s="206">
        <f t="shared" si="10"/>
        <v>0</v>
      </c>
      <c r="K23" s="205">
        <f t="shared" si="11"/>
        <v>0</v>
      </c>
      <c r="L23" s="206">
        <f t="shared" si="12"/>
        <v>0</v>
      </c>
      <c r="O23" s="53" t="s">
        <v>5</v>
      </c>
      <c r="P23" s="65">
        <v>0</v>
      </c>
      <c r="Q23" s="65">
        <v>0</v>
      </c>
      <c r="R23" s="65">
        <v>0</v>
      </c>
      <c r="S23" s="65">
        <v>0</v>
      </c>
      <c r="T23" s="65">
        <v>0</v>
      </c>
      <c r="U23" s="65">
        <v>0</v>
      </c>
      <c r="V23" s="65">
        <v>0</v>
      </c>
      <c r="W23" s="65">
        <v>0</v>
      </c>
      <c r="X23" s="65">
        <v>0</v>
      </c>
      <c r="Y23" s="65">
        <v>0</v>
      </c>
      <c r="Z23" s="65">
        <v>0</v>
      </c>
      <c r="AA23" s="65">
        <v>0</v>
      </c>
      <c r="AB23" s="65">
        <v>0</v>
      </c>
      <c r="AC23" s="65">
        <v>0</v>
      </c>
      <c r="AD23" s="65">
        <v>0</v>
      </c>
      <c r="AE23" s="65">
        <v>0</v>
      </c>
      <c r="AK23" s="53" t="s">
        <v>5</v>
      </c>
    </row>
    <row r="24" spans="2:41" s="21" customFormat="1" ht="18.75" customHeight="1" x14ac:dyDescent="0.15">
      <c r="B24" s="227" t="s">
        <v>6</v>
      </c>
      <c r="C24" s="229">
        <f>IFERROR(INDEX(年齢階層×在院期間区分F00F01＿寛解・院内寛解[#All],MATCH($AK8,年齢階層×在院期間区分F00F01＿寛解・院内寛解[[#All],[行ラベル]],0),MATCH($AL$3,年齢階層×在院期間区分F00F01＿寛解・院内寛解[#Headers],0)),0)+IFERROR(INDEX(年齢階層×在院期間区分F00F01＿寛解・院内寛解[#All],MATCH($AK8,年齢階層×在院期間区分F00F01＿寛解・院内寛解[[#All],[行ラベル]],0),MATCH($AM$3,年齢階層×在院期間区分F00F01＿寛解・院内寛解[#Headers],0)),0)+IFERROR(INDEX(年齢階層×在院期間区分F00F01＿寛解・院内寛解[#All],MATCH($AK8,年齢階層×在院期間区分F00F01＿寛解・院内寛解[[#All],[行ラベル]],0),MATCH($AN$3,年齢階層×在院期間区分F00F01＿寛解・院内寛解[#Headers],0)),0)+IFERROR(INDEX(年齢階層×在院期間区分F00F01＿寛解・院内寛解[#All],MATCH($AK8,年齢階層×在院期間区分F00F01＿寛解・院内寛解[[#All],[行ラベル]],0),MATCH($AO$3,年齢階層×在院期間区分F00F01＿寛解・院内寛解[#Headers],0)),0)</f>
        <v>4</v>
      </c>
      <c r="D24" s="206">
        <f t="shared" si="7"/>
        <v>2.8571428571428571E-2</v>
      </c>
      <c r="E24" s="205">
        <f>IFERROR(INDEX(年齢階層×在院期間区分F00F01＿寛解・院内寛解[#All],MATCH($AK8,年齢階層×在院期間区分F00F01＿寛解・院内寛解[[#All],[行ラベル]],0),MATCH($AP$3,年齢階層×在院期間区分F00F01＿寛解・院内寛解[#Headers],0)),0)+IFERROR(INDEX(年齢階層×在院期間区分F00F01＿寛解・院内寛解[#All],MATCH($AK8,年齢階層×在院期間区分F00F01＿寛解・院内寛解[[#All],[行ラベル]],0),MATCH($AQ$3,年齢階層×在院期間区分F00F01＿寛解・院内寛解[#Headers],0)),0)+IFERROR(INDEX(年齢階層×在院期間区分F00F01＿寛解・院内寛解[#All],MATCH($AK8,年齢階層×在院期間区分F00F01＿寛解・院内寛解[[#All],[行ラベル]],0),MATCH($AR$3,年齢階層×在院期間区分F00F01＿寛解・院内寛解[#Headers],0)),0)+IFERROR(INDEX(年齢階層×在院期間区分F00F01＿寛解・院内寛解[#All],MATCH($AK8,年齢階層×在院期間区分F00F01＿寛解・院内寛解[[#All],[行ラベル]],0),MATCH($AS$3,年齢階層×在院期間区分F00F01＿寛解・院内寛解[#Headers],0)),0)+IFERROR(INDEX(年齢階層×在院期間区分F00F01＿寛解・院内寛解[#All],MATCH($AK8,年齢階層×在院期間区分F00F01＿寛解・院内寛解[[#All],[行ラベル]],0),MATCH($AT$3,年齢階層×在院期間区分F00F01＿寛解・院内寛解[#Headers],0)),0)</f>
        <v>0</v>
      </c>
      <c r="F24" s="206">
        <f t="shared" si="8"/>
        <v>0</v>
      </c>
      <c r="G24" s="229">
        <f>IFERROR(INDEX(年齢階層×在院期間区分F00F01＿寛解・院内寛解[#All],MATCH($AK8,年齢階層×在院期間区分F00F01＿寛解・院内寛解[[#All],[行ラベル]],0),MATCH($AU$3,年齢階層×在院期間区分F00F01＿寛解・院内寛解[#Headers],0)),0)+IFERROR(INDEX(年齢階層×在院期間区分F00F01＿寛解・院内寛解[#All],MATCH($AK8,年齢階層×在院期間区分F00F01＿寛解・院内寛解[[#All],[行ラベル]],0),MATCH($AV$3,年齢階層×在院期間区分F00F01＿寛解・院内寛解[#Headers],0)),0)+IFERROR(INDEX(年齢階層×在院期間区分F00F01＿寛解・院内寛解[#All],MATCH($AK8,年齢階層×在院期間区分F00F01＿寛解・院内寛解[[#All],[行ラベル]],0),MATCH($AW$3,年齢階層×在院期間区分F00F01＿寛解・院内寛解[#Headers],0)),0)+IFERROR(INDEX(年齢階層×在院期間区分F00F01＿寛解・院内寛解[#All],MATCH($AK8,年齢階層×在院期間区分F00F01＿寛解・院内寛解[[#All],[行ラベル]],0),MATCH($AX$3,年齢階層×在院期間区分F00F01＿寛解・院内寛解[#Headers],0)),0)+IFERROR(INDEX(年齢階層×在院期間区分F00F01＿寛解・院内寛解[#All],MATCH($AK8,年齢階層×在院期間区分F00F01＿寛解・院内寛解[[#All],[行ラベル]],0),MATCH($AY$3,年齢階層×在院期間区分F00F01＿寛解・院内寛解[#Headers],0)),0)</f>
        <v>0</v>
      </c>
      <c r="H24" s="206">
        <f t="shared" si="9"/>
        <v>0</v>
      </c>
      <c r="I24" s="205">
        <f>IFERROR(INDEX(年齢階層×在院期間区分F00F01＿寛解・院内寛解[#All],MATCH($AK8,年齢階層×在院期間区分F00F01＿寛解・院内寛解[[#All],[行ラベル]],0),MATCH($AZ$3,年齢階層×在院期間区分F00F01＿寛解・院内寛解[#Headers],0)),0)+IFERROR(INDEX(年齢階層×在院期間区分F00F01＿寛解・院内寛解[#All],MATCH($AK8,年齢階層×在院期間区分F00F01＿寛解・院内寛解[[#All],[行ラベル]],0),MATCH($BA$3,年齢階層×在院期間区分F00F01＿寛解・院内寛解[#Headers],0)),0)</f>
        <v>0</v>
      </c>
      <c r="J24" s="206">
        <f t="shared" si="10"/>
        <v>0</v>
      </c>
      <c r="K24" s="205">
        <f t="shared" si="11"/>
        <v>4</v>
      </c>
      <c r="L24" s="206">
        <f t="shared" si="12"/>
        <v>2.3255813953488372E-2</v>
      </c>
      <c r="O24" s="53" t="s">
        <v>6</v>
      </c>
      <c r="P24" s="65">
        <v>0</v>
      </c>
      <c r="Q24" s="65">
        <v>2</v>
      </c>
      <c r="R24" s="65">
        <v>1</v>
      </c>
      <c r="S24" s="65">
        <v>1</v>
      </c>
      <c r="T24" s="65">
        <v>0</v>
      </c>
      <c r="U24" s="65">
        <v>0</v>
      </c>
      <c r="V24" s="65">
        <v>0</v>
      </c>
      <c r="W24" s="65">
        <v>0</v>
      </c>
      <c r="X24" s="65">
        <v>0</v>
      </c>
      <c r="Y24" s="65">
        <v>0</v>
      </c>
      <c r="Z24" s="65">
        <v>0</v>
      </c>
      <c r="AA24" s="65">
        <v>0</v>
      </c>
      <c r="AB24" s="65">
        <v>0</v>
      </c>
      <c r="AC24" s="65">
        <v>0</v>
      </c>
      <c r="AD24" s="65">
        <v>0</v>
      </c>
      <c r="AE24" s="65">
        <v>0</v>
      </c>
      <c r="AK24" s="53" t="s">
        <v>6</v>
      </c>
    </row>
    <row r="25" spans="2:41" s="21" customFormat="1" ht="18.75" customHeight="1" x14ac:dyDescent="0.15">
      <c r="B25" s="227" t="s">
        <v>7</v>
      </c>
      <c r="C25" s="228">
        <f>IFERROR(INDEX(年齢階層×在院期間区分F00F01＿寛解・院内寛解[#All],MATCH($AK9,年齢階層×在院期間区分F00F01＿寛解・院内寛解[[#All],[行ラベル]],0),MATCH($AL$3,年齢階層×在院期間区分F00F01＿寛解・院内寛解[#Headers],0)),0)+IFERROR(INDEX(年齢階層×在院期間区分F00F01＿寛解・院内寛解[#All],MATCH($AK9,年齢階層×在院期間区分F00F01＿寛解・院内寛解[[#All],[行ラベル]],0),MATCH($AM$3,年齢階層×在院期間区分F00F01＿寛解・院内寛解[#Headers],0)),0)+IFERROR(INDEX(年齢階層×在院期間区分F00F01＿寛解・院内寛解[#All],MATCH($AK9,年齢階層×在院期間区分F00F01＿寛解・院内寛解[[#All],[行ラベル]],0),MATCH($AN$3,年齢階層×在院期間区分F00F01＿寛解・院内寛解[#Headers],0)),0)+IFERROR(INDEX(年齢階層×在院期間区分F00F01＿寛解・院内寛解[#All],MATCH($AK9,年齢階層×在院期間区分F00F01＿寛解・院内寛解[[#All],[行ラベル]],0),MATCH($AO$3,年齢階層×在院期間区分F00F01＿寛解・院内寛解[#Headers],0)),0)</f>
        <v>3</v>
      </c>
      <c r="D25" s="206">
        <f t="shared" si="7"/>
        <v>2.1428571428571429E-2</v>
      </c>
      <c r="E25" s="205">
        <f>IFERROR(INDEX(年齢階層×在院期間区分F00F01＿寛解・院内寛解[#All],MATCH($AK9,年齢階層×在院期間区分F00F01＿寛解・院内寛解[[#All],[行ラベル]],0),MATCH($AP$3,年齢階層×在院期間区分F00F01＿寛解・院内寛解[#Headers],0)),0)+IFERROR(INDEX(年齢階層×在院期間区分F00F01＿寛解・院内寛解[#All],MATCH($AK9,年齢階層×在院期間区分F00F01＿寛解・院内寛解[[#All],[行ラベル]],0),MATCH($AQ$3,年齢階層×在院期間区分F00F01＿寛解・院内寛解[#Headers],0)),0)+IFERROR(INDEX(年齢階層×在院期間区分F00F01＿寛解・院内寛解[#All],MATCH($AK9,年齢階層×在院期間区分F00F01＿寛解・院内寛解[[#All],[行ラベル]],0),MATCH($AR$3,年齢階層×在院期間区分F00F01＿寛解・院内寛解[#Headers],0)),0)+IFERROR(INDEX(年齢階層×在院期間区分F00F01＿寛解・院内寛解[#All],MATCH($AK9,年齢階層×在院期間区分F00F01＿寛解・院内寛解[[#All],[行ラベル]],0),MATCH($AS$3,年齢階層×在院期間区分F00F01＿寛解・院内寛解[#Headers],0)),0)+IFERROR(INDEX(年齢階層×在院期間区分F00F01＿寛解・院内寛解[#All],MATCH($AK9,年齢階層×在院期間区分F00F01＿寛解・院内寛解[[#All],[行ラベル]],0),MATCH($AT$3,年齢階層×在院期間区分F00F01＿寛解・院内寛解[#Headers],0)),0)</f>
        <v>1</v>
      </c>
      <c r="F25" s="206">
        <f t="shared" si="8"/>
        <v>4.1666666666666664E-2</v>
      </c>
      <c r="G25" s="228">
        <f>IFERROR(INDEX(年齢階層×在院期間区分F00F01＿寛解・院内寛解[#All],MATCH($AK9,年齢階層×在院期間区分F00F01＿寛解・院内寛解[[#All],[行ラベル]],0),MATCH($AU$3,年齢階層×在院期間区分F00F01＿寛解・院内寛解[#Headers],0)),0)+IFERROR(INDEX(年齢階層×在院期間区分F00F01＿寛解・院内寛解[#All],MATCH($AK9,年齢階層×在院期間区分F00F01＿寛解・院内寛解[[#All],[行ラベル]],0),MATCH($AV$3,年齢階層×在院期間区分F00F01＿寛解・院内寛解[#Headers],0)),0)+IFERROR(INDEX(年齢階層×在院期間区分F00F01＿寛解・院内寛解[#All],MATCH($AK9,年齢階層×在院期間区分F00F01＿寛解・院内寛解[[#All],[行ラベル]],0),MATCH($AW$3,年齢階層×在院期間区分F00F01＿寛解・院内寛解[#Headers],0)),0)+IFERROR(INDEX(年齢階層×在院期間区分F00F01＿寛解・院内寛解[#All],MATCH($AK9,年齢階層×在院期間区分F00F01＿寛解・院内寛解[[#All],[行ラベル]],0),MATCH($AX$3,年齢階層×在院期間区分F00F01＿寛解・院内寛解[#Headers],0)),0)+IFERROR(INDEX(年齢階層×在院期間区分F00F01＿寛解・院内寛解[#All],MATCH($AK9,年齢階層×在院期間区分F00F01＿寛解・院内寛解[[#All],[行ラベル]],0),MATCH($AY$3,年齢階層×在院期間区分F00F01＿寛解・院内寛解[#Headers],0)),0)</f>
        <v>0</v>
      </c>
      <c r="H25" s="206">
        <f t="shared" si="9"/>
        <v>0</v>
      </c>
      <c r="I25" s="205">
        <f>IFERROR(INDEX(年齢階層×在院期間区分F00F01＿寛解・院内寛解[#All],MATCH($AK9,年齢階層×在院期間区分F00F01＿寛解・院内寛解[[#All],[行ラベル]],0),MATCH($AZ$3,年齢階層×在院期間区分F00F01＿寛解・院内寛解[#Headers],0)),0)+IFERROR(INDEX(年齢階層×在院期間区分F00F01＿寛解・院内寛解[#All],MATCH($AK9,年齢階層×在院期間区分F00F01＿寛解・院内寛解[[#All],[行ラベル]],0),MATCH($BA$3,年齢階層×在院期間区分F00F01＿寛解・院内寛解[#Headers],0)),0)</f>
        <v>0</v>
      </c>
      <c r="J25" s="206">
        <f t="shared" si="10"/>
        <v>0</v>
      </c>
      <c r="K25" s="205">
        <f t="shared" si="11"/>
        <v>4</v>
      </c>
      <c r="L25" s="206">
        <f t="shared" si="12"/>
        <v>2.3255813953488372E-2</v>
      </c>
      <c r="O25" s="53" t="s">
        <v>7</v>
      </c>
      <c r="P25" s="65">
        <v>1</v>
      </c>
      <c r="Q25" s="65">
        <v>1</v>
      </c>
      <c r="R25" s="65">
        <v>0</v>
      </c>
      <c r="S25" s="65">
        <v>1</v>
      </c>
      <c r="T25" s="65">
        <v>0</v>
      </c>
      <c r="U25" s="65">
        <v>1</v>
      </c>
      <c r="V25" s="65">
        <v>0</v>
      </c>
      <c r="W25" s="65">
        <v>0</v>
      </c>
      <c r="X25" s="65">
        <v>0</v>
      </c>
      <c r="Y25" s="65">
        <v>0</v>
      </c>
      <c r="Z25" s="65">
        <v>0</v>
      </c>
      <c r="AA25" s="65">
        <v>0</v>
      </c>
      <c r="AB25" s="65">
        <v>0</v>
      </c>
      <c r="AC25" s="65">
        <v>0</v>
      </c>
      <c r="AD25" s="65">
        <v>0</v>
      </c>
      <c r="AE25" s="65">
        <v>0</v>
      </c>
      <c r="AK25" s="53" t="s">
        <v>7</v>
      </c>
    </row>
    <row r="26" spans="2:41" s="21" customFormat="1" ht="18.75" customHeight="1" x14ac:dyDescent="0.15">
      <c r="B26" s="227" t="s">
        <v>8</v>
      </c>
      <c r="C26" s="205">
        <f>IFERROR(INDEX(年齢階層×在院期間区分F00F01＿寛解・院内寛解[#All],MATCH($AK10,年齢階層×在院期間区分F00F01＿寛解・院内寛解[[#All],[行ラベル]],0),MATCH($AL$3,年齢階層×在院期間区分F00F01＿寛解・院内寛解[#Headers],0)),0)+IFERROR(INDEX(年齢階層×在院期間区分F00F01＿寛解・院内寛解[#All],MATCH($AK10,年齢階層×在院期間区分F00F01＿寛解・院内寛解[[#All],[行ラベル]],0),MATCH($AM$3,年齢階層×在院期間区分F00F01＿寛解・院内寛解[#Headers],0)),0)+IFERROR(INDEX(年齢階層×在院期間区分F00F01＿寛解・院内寛解[#All],MATCH($AK10,年齢階層×在院期間区分F00F01＿寛解・院内寛解[[#All],[行ラベル]],0),MATCH($AN$3,年齢階層×在院期間区分F00F01＿寛解・院内寛解[#Headers],0)),0)+IFERROR(INDEX(年齢階層×在院期間区分F00F01＿寛解・院内寛解[#All],MATCH($AK10,年齢階層×在院期間区分F00F01＿寛解・院内寛解[[#All],[行ラベル]],0),MATCH($AO$3,年齢階層×在院期間区分F00F01＿寛解・院内寛解[#Headers],0)),0)</f>
        <v>41</v>
      </c>
      <c r="D26" s="206">
        <f t="shared" si="7"/>
        <v>0.29285714285714287</v>
      </c>
      <c r="E26" s="205">
        <f>IFERROR(INDEX(年齢階層×在院期間区分F00F01＿寛解・院内寛解[#All],MATCH($AK10,年齢階層×在院期間区分F00F01＿寛解・院内寛解[[#All],[行ラベル]],0),MATCH($AP$3,年齢階層×在院期間区分F00F01＿寛解・院内寛解[#Headers],0)),0)+IFERROR(INDEX(年齢階層×在院期間区分F00F01＿寛解・院内寛解[#All],MATCH($AK10,年齢階層×在院期間区分F00F01＿寛解・院内寛解[[#All],[行ラベル]],0),MATCH($AQ$3,年齢階層×在院期間区分F00F01＿寛解・院内寛解[#Headers],0)),0)+IFERROR(INDEX(年齢階層×在院期間区分F00F01＿寛解・院内寛解[#All],MATCH($AK10,年齢階層×在院期間区分F00F01＿寛解・院内寛解[[#All],[行ラベル]],0),MATCH($AR$3,年齢階層×在院期間区分F00F01＿寛解・院内寛解[#Headers],0)),0)+IFERROR(INDEX(年齢階層×在院期間区分F00F01＿寛解・院内寛解[#All],MATCH($AK10,年齢階層×在院期間区分F00F01＿寛解・院内寛解[[#All],[行ラベル]],0),MATCH($AS$3,年齢階層×在院期間区分F00F01＿寛解・院内寛解[#Headers],0)),0)+IFERROR(INDEX(年齢階層×在院期間区分F00F01＿寛解・院内寛解[#All],MATCH($AK10,年齢階層×在院期間区分F00F01＿寛解・院内寛解[[#All],[行ラベル]],0),MATCH($AT$3,年齢階層×在院期間区分F00F01＿寛解・院内寛解[#Headers],0)),0)</f>
        <v>4</v>
      </c>
      <c r="F26" s="206">
        <f t="shared" si="8"/>
        <v>0.16666666666666666</v>
      </c>
      <c r="G26" s="228">
        <f>IFERROR(INDEX(年齢階層×在院期間区分F00F01＿寛解・院内寛解[#All],MATCH($AK10,年齢階層×在院期間区分F00F01＿寛解・院内寛解[[#All],[行ラベル]],0),MATCH($AU$3,年齢階層×在院期間区分F00F01＿寛解・院内寛解[#Headers],0)),0)+IFERROR(INDEX(年齢階層×在院期間区分F00F01＿寛解・院内寛解[#All],MATCH($AK10,年齢階層×在院期間区分F00F01＿寛解・院内寛解[[#All],[行ラベル]],0),MATCH($AV$3,年齢階層×在院期間区分F00F01＿寛解・院内寛解[#Headers],0)),0)+IFERROR(INDEX(年齢階層×在院期間区分F00F01＿寛解・院内寛解[#All],MATCH($AK10,年齢階層×在院期間区分F00F01＿寛解・院内寛解[[#All],[行ラベル]],0),MATCH($AW$3,年齢階層×在院期間区分F00F01＿寛解・院内寛解[#Headers],0)),0)+IFERROR(INDEX(年齢階層×在院期間区分F00F01＿寛解・院内寛解[#All],MATCH($AK10,年齢階層×在院期間区分F00F01＿寛解・院内寛解[[#All],[行ラベル]],0),MATCH($AX$3,年齢階層×在院期間区分F00F01＿寛解・院内寛解[#Headers],0)),0)+IFERROR(INDEX(年齢階層×在院期間区分F00F01＿寛解・院内寛解[#All],MATCH($AK10,年齢階層×在院期間区分F00F01＿寛解・院内寛解[[#All],[行ラベル]],0),MATCH($AY$3,年齢階層×在院期間区分F00F01＿寛解・院内寛解[#Headers],0)),0)</f>
        <v>1</v>
      </c>
      <c r="H26" s="206">
        <f t="shared" si="9"/>
        <v>0.14285714285714285</v>
      </c>
      <c r="I26" s="205">
        <f>IFERROR(INDEX(年齢階層×在院期間区分F00F01＿寛解・院内寛解[#All],MATCH($AK10,年齢階層×在院期間区分F00F01＿寛解・院内寛解[[#All],[行ラベル]],0),MATCH($AZ$3,年齢階層×在院期間区分F00F01＿寛解・院内寛解[#Headers],0)),0)+IFERROR(INDEX(年齢階層×在院期間区分F00F01＿寛解・院内寛解[#All],MATCH($AK10,年齢階層×在院期間区分F00F01＿寛解・院内寛解[[#All],[行ラベル]],0),MATCH($BA$3,年齢階層×在院期間区分F00F01＿寛解・院内寛解[#Headers],0)),0)</f>
        <v>0</v>
      </c>
      <c r="J26" s="206">
        <f t="shared" si="10"/>
        <v>0</v>
      </c>
      <c r="K26" s="205">
        <f t="shared" si="11"/>
        <v>46</v>
      </c>
      <c r="L26" s="206">
        <f t="shared" si="12"/>
        <v>0.26744186046511625</v>
      </c>
      <c r="O26" s="53" t="s">
        <v>8</v>
      </c>
      <c r="P26" s="65">
        <v>9</v>
      </c>
      <c r="Q26" s="65">
        <v>14</v>
      </c>
      <c r="R26" s="65">
        <v>6</v>
      </c>
      <c r="S26" s="65">
        <v>12</v>
      </c>
      <c r="T26" s="65">
        <v>0</v>
      </c>
      <c r="U26" s="65">
        <v>2</v>
      </c>
      <c r="V26" s="65">
        <v>0</v>
      </c>
      <c r="W26" s="65">
        <v>1</v>
      </c>
      <c r="X26" s="65">
        <v>1</v>
      </c>
      <c r="Y26" s="65">
        <v>1</v>
      </c>
      <c r="Z26" s="65">
        <v>0</v>
      </c>
      <c r="AA26" s="65">
        <v>0</v>
      </c>
      <c r="AB26" s="65">
        <v>0</v>
      </c>
      <c r="AC26" s="65">
        <v>0</v>
      </c>
      <c r="AD26" s="65">
        <v>0</v>
      </c>
      <c r="AE26" s="65">
        <v>0</v>
      </c>
      <c r="AK26" s="53" t="s">
        <v>8</v>
      </c>
    </row>
    <row r="27" spans="2:41" s="21" customFormat="1" ht="18.75" customHeight="1" x14ac:dyDescent="0.15">
      <c r="B27" s="227" t="s">
        <v>9</v>
      </c>
      <c r="C27" s="229">
        <f>IFERROR(INDEX(年齢階層×在院期間区分F00F01＿寛解・院内寛解[#All],MATCH($AK11,年齢階層×在院期間区分F00F01＿寛解・院内寛解[[#All],[行ラベル]],0),MATCH($AL$3,年齢階層×在院期間区分F00F01＿寛解・院内寛解[#Headers],0)),0)+IFERROR(INDEX(年齢階層×在院期間区分F00F01＿寛解・院内寛解[#All],MATCH($AK11,年齢階層×在院期間区分F00F01＿寛解・院内寛解[[#All],[行ラベル]],0),MATCH($AM$3,年齢階層×在院期間区分F00F01＿寛解・院内寛解[#Headers],0)),0)+IFERROR(INDEX(年齢階層×在院期間区分F00F01＿寛解・院内寛解[#All],MATCH($AK11,年齢階層×在院期間区分F00F01＿寛解・院内寛解[[#All],[行ラベル]],0),MATCH($AN$3,年齢階層×在院期間区分F00F01＿寛解・院内寛解[#Headers],0)),0)+IFERROR(INDEX(年齢階層×在院期間区分F00F01＿寛解・院内寛解[#All],MATCH($AK11,年齢階層×在院期間区分F00F01＿寛解・院内寛解[[#All],[行ラベル]],0),MATCH($AO$3,年齢階層×在院期間区分F00F01＿寛解・院内寛解[#Headers],0)),0)</f>
        <v>78</v>
      </c>
      <c r="D27" s="206">
        <f t="shared" si="7"/>
        <v>0.55714285714285716</v>
      </c>
      <c r="E27" s="229">
        <f>IFERROR(INDEX(年齢階層×在院期間区分F00F01＿寛解・院内寛解[#All],MATCH($AK11,年齢階層×在院期間区分F00F01＿寛解・院内寛解[[#All],[行ラベル]],0),MATCH($AP$3,年齢階層×在院期間区分F00F01＿寛解・院内寛解[#Headers],0)),0)+IFERROR(INDEX(年齢階層×在院期間区分F00F01＿寛解・院内寛解[#All],MATCH($AK11,年齢階層×在院期間区分F00F01＿寛解・院内寛解[[#All],[行ラベル]],0),MATCH($AQ$3,年齢階層×在院期間区分F00F01＿寛解・院内寛解[#Headers],0)),0)+IFERROR(INDEX(年齢階層×在院期間区分F00F01＿寛解・院内寛解[#All],MATCH($AK11,年齢階層×在院期間区分F00F01＿寛解・院内寛解[[#All],[行ラベル]],0),MATCH($AR$3,年齢階層×在院期間区分F00F01＿寛解・院内寛解[#Headers],0)),0)+IFERROR(INDEX(年齢階層×在院期間区分F00F01＿寛解・院内寛解[#All],MATCH($AK11,年齢階層×在院期間区分F00F01＿寛解・院内寛解[[#All],[行ラベル]],0),MATCH($AS$3,年齢階層×在院期間区分F00F01＿寛解・院内寛解[#Headers],0)),0)+IFERROR(INDEX(年齢階層×在院期間区分F00F01＿寛解・院内寛解[#All],MATCH($AK11,年齢階層×在院期間区分F00F01＿寛解・院内寛解[[#All],[行ラベル]],0),MATCH($AT$3,年齢階層×在院期間区分F00F01＿寛解・院内寛解[#Headers],0)),0)</f>
        <v>11</v>
      </c>
      <c r="F27" s="206">
        <f t="shared" si="8"/>
        <v>0.45833333333333331</v>
      </c>
      <c r="G27" s="205">
        <f>IFERROR(INDEX(年齢階層×在院期間区分F00F01＿寛解・院内寛解[#All],MATCH($AK11,年齢階層×在院期間区分F00F01＿寛解・院内寛解[[#All],[行ラベル]],0),MATCH($AU$3,年齢階層×在院期間区分F00F01＿寛解・院内寛解[#Headers],0)),0)+IFERROR(INDEX(年齢階層×在院期間区分F00F01＿寛解・院内寛解[#All],MATCH($AK11,年齢階層×在院期間区分F00F01＿寛解・院内寛解[[#All],[行ラベル]],0),MATCH($AV$3,年齢階層×在院期間区分F00F01＿寛解・院内寛解[#Headers],0)),0)+IFERROR(INDEX(年齢階層×在院期間区分F00F01＿寛解・院内寛解[#All],MATCH($AK11,年齢階層×在院期間区分F00F01＿寛解・院内寛解[[#All],[行ラベル]],0),MATCH($AW$3,年齢階層×在院期間区分F00F01＿寛解・院内寛解[#Headers],0)),0)+IFERROR(INDEX(年齢階層×在院期間区分F00F01＿寛解・院内寛解[#All],MATCH($AK11,年齢階層×在院期間区分F00F01＿寛解・院内寛解[[#All],[行ラベル]],0),MATCH($AX$3,年齢階層×在院期間区分F00F01＿寛解・院内寛解[#Headers],0)),0)+IFERROR(INDEX(年齢階層×在院期間区分F00F01＿寛解・院内寛解[#All],MATCH($AK11,年齢階層×在院期間区分F00F01＿寛解・院内寛解[[#All],[行ラベル]],0),MATCH($AY$3,年齢階層×在院期間区分F00F01＿寛解・院内寛解[#Headers],0)),0)</f>
        <v>4</v>
      </c>
      <c r="H27" s="206">
        <f t="shared" si="9"/>
        <v>0.5714285714285714</v>
      </c>
      <c r="I27" s="205">
        <f>IFERROR(INDEX(年齢階層×在院期間区分F00F01＿寛解・院内寛解[#All],MATCH($AK11,年齢階層×在院期間区分F00F01＿寛解・院内寛解[[#All],[行ラベル]],0),MATCH($AZ$3,年齢階層×在院期間区分F00F01＿寛解・院内寛解[#Headers],0)),0)+IFERROR(INDEX(年齢階層×在院期間区分F00F01＿寛解・院内寛解[#All],MATCH($AK11,年齢階層×在院期間区分F00F01＿寛解・院内寛解[[#All],[行ラベル]],0),MATCH($BA$3,年齢階層×在院期間区分F00F01＿寛解・院内寛解[#Headers],0)),0)</f>
        <v>0</v>
      </c>
      <c r="J27" s="206">
        <f t="shared" si="10"/>
        <v>0</v>
      </c>
      <c r="K27" s="205">
        <f t="shared" si="11"/>
        <v>93</v>
      </c>
      <c r="L27" s="206">
        <f t="shared" si="12"/>
        <v>0.54069767441860461</v>
      </c>
      <c r="O27" s="53" t="s">
        <v>9</v>
      </c>
      <c r="P27" s="65">
        <v>15</v>
      </c>
      <c r="Q27" s="65">
        <v>29</v>
      </c>
      <c r="R27" s="65">
        <v>16</v>
      </c>
      <c r="S27" s="65">
        <v>18</v>
      </c>
      <c r="T27" s="65">
        <v>1</v>
      </c>
      <c r="U27" s="65">
        <v>7</v>
      </c>
      <c r="V27" s="65">
        <v>2</v>
      </c>
      <c r="W27" s="65">
        <v>1</v>
      </c>
      <c r="X27" s="65">
        <v>0</v>
      </c>
      <c r="Y27" s="65">
        <v>1</v>
      </c>
      <c r="Z27" s="65">
        <v>0</v>
      </c>
      <c r="AA27" s="65">
        <v>2</v>
      </c>
      <c r="AB27" s="65">
        <v>0</v>
      </c>
      <c r="AC27" s="65">
        <v>1</v>
      </c>
      <c r="AD27" s="65">
        <v>0</v>
      </c>
      <c r="AE27" s="65">
        <v>0</v>
      </c>
      <c r="AK27" s="53" t="s">
        <v>9</v>
      </c>
    </row>
    <row r="28" spans="2:41" s="21" customFormat="1" ht="18.75" customHeight="1" thickBot="1" x14ac:dyDescent="0.2">
      <c r="B28" s="230" t="s">
        <v>10</v>
      </c>
      <c r="C28" s="208">
        <f>IFERROR(INDEX(年齢階層×在院期間区分F00F01＿寛解・院内寛解[#All],MATCH($AK12,年齢階層×在院期間区分F00F01＿寛解・院内寛解[[#All],[行ラベル]],0),MATCH($AL$3,年齢階層×在院期間区分F00F01＿寛解・院内寛解[#Headers],0)),0)+IFERROR(INDEX(年齢階層×在院期間区分F00F01＿寛解・院内寛解[#All],MATCH($AK12,年齢階層×在院期間区分F00F01＿寛解・院内寛解[[#All],[行ラベル]],0),MATCH($AM$3,年齢階層×在院期間区分F00F01＿寛解・院内寛解[#Headers],0)),0)+IFERROR(INDEX(年齢階層×在院期間区分F00F01＿寛解・院内寛解[#All],MATCH($AK12,年齢階層×在院期間区分F00F01＿寛解・院内寛解[[#All],[行ラベル]],0),MATCH($AN$3,年齢階層×在院期間区分F00F01＿寛解・院内寛解[#Headers],0)),0)+IFERROR(INDEX(年齢階層×在院期間区分F00F01＿寛解・院内寛解[#All],MATCH($AK12,年齢階層×在院期間区分F00F01＿寛解・院内寛解[[#All],[行ラベル]],0),MATCH($AO$3,年齢階層×在院期間区分F00F01＿寛解・院内寛解[#Headers],0)),0)</f>
        <v>14</v>
      </c>
      <c r="D28" s="210">
        <f t="shared" si="7"/>
        <v>0.1</v>
      </c>
      <c r="E28" s="208">
        <f>IFERROR(INDEX(年齢階層×在院期間区分F00F01＿寛解・院内寛解[#All],MATCH($AK12,年齢階層×在院期間区分F00F01＿寛解・院内寛解[[#All],[行ラベル]],0),MATCH($AP$3,年齢階層×在院期間区分F00F01＿寛解・院内寛解[#Headers],0)),0)+IFERROR(INDEX(年齢階層×在院期間区分F00F01＿寛解・院内寛解[#All],MATCH($AK12,年齢階層×在院期間区分F00F01＿寛解・院内寛解[[#All],[行ラベル]],0),MATCH($AQ$3,年齢階層×在院期間区分F00F01＿寛解・院内寛解[#Headers],0)),0)+IFERROR(INDEX(年齢階層×在院期間区分F00F01＿寛解・院内寛解[#All],MATCH($AK12,年齢階層×在院期間区分F00F01＿寛解・院内寛解[[#All],[行ラベル]],0),MATCH($AR$3,年齢階層×在院期間区分F00F01＿寛解・院内寛解[#Headers],0)),0)+IFERROR(INDEX(年齢階層×在院期間区分F00F01＿寛解・院内寛解[#All],MATCH($AK12,年齢階層×在院期間区分F00F01＿寛解・院内寛解[[#All],[行ラベル]],0),MATCH($AS$3,年齢階層×在院期間区分F00F01＿寛解・院内寛解[#Headers],0)),0)+IFERROR(INDEX(年齢階層×在院期間区分F00F01＿寛解・院内寛解[#All],MATCH($AK12,年齢階層×在院期間区分F00F01＿寛解・院内寛解[[#All],[行ラベル]],0),MATCH($AT$3,年齢階層×在院期間区分F00F01＿寛解・院内寛解[#Headers],0)),0)</f>
        <v>8</v>
      </c>
      <c r="F28" s="210">
        <f t="shared" si="8"/>
        <v>0.33333333333333331</v>
      </c>
      <c r="G28" s="231">
        <f>IFERROR(INDEX(年齢階層×在院期間区分F00F01＿寛解・院内寛解[#All],MATCH($AK12,年齢階層×在院期間区分F00F01＿寛解・院内寛解[[#All],[行ラベル]],0),MATCH($AU$3,年齢階層×在院期間区分F00F01＿寛解・院内寛解[#Headers],0)),0)+IFERROR(INDEX(年齢階層×在院期間区分F00F01＿寛解・院内寛解[#All],MATCH($AK12,年齢階層×在院期間区分F00F01＿寛解・院内寛解[[#All],[行ラベル]],0),MATCH($AV$3,年齢階層×在院期間区分F00F01＿寛解・院内寛解[#Headers],0)),0)+IFERROR(INDEX(年齢階層×在院期間区分F00F01＿寛解・院内寛解[#All],MATCH($AK12,年齢階層×在院期間区分F00F01＿寛解・院内寛解[[#All],[行ラベル]],0),MATCH($AW$3,年齢階層×在院期間区分F00F01＿寛解・院内寛解[#Headers],0)),0)+IFERROR(INDEX(年齢階層×在院期間区分F00F01＿寛解・院内寛解[#All],MATCH($AK12,年齢階層×在院期間区分F00F01＿寛解・院内寛解[[#All],[行ラベル]],0),MATCH($AX$3,年齢階層×在院期間区分F00F01＿寛解・院内寛解[#Headers],0)),0)+IFERROR(INDEX(年齢階層×在院期間区分F00F01＿寛解・院内寛解[#All],MATCH($AK12,年齢階層×在院期間区分F00F01＿寛解・院内寛解[[#All],[行ラベル]],0),MATCH($AY$3,年齢階層×在院期間区分F00F01＿寛解・院内寛解[#Headers],0)),0)</f>
        <v>2</v>
      </c>
      <c r="H28" s="210">
        <f t="shared" si="9"/>
        <v>0.2857142857142857</v>
      </c>
      <c r="I28" s="231">
        <f>IFERROR(INDEX(年齢階層×在院期間区分F00F01＿寛解・院内寛解[#All],MATCH($AK12,年齢階層×在院期間区分F00F01＿寛解・院内寛解[[#All],[行ラベル]],0),MATCH($AZ$3,年齢階層×在院期間区分F00F01＿寛解・院内寛解[#Headers],0)),0)+IFERROR(INDEX(年齢階層×在院期間区分F00F01＿寛解・院内寛解[#All],MATCH($AK12,年齢階層×在院期間区分F00F01＿寛解・院内寛解[[#All],[行ラベル]],0),MATCH($BA$3,年齢階層×在院期間区分F00F01＿寛解・院内寛解[#Headers],0)),0)</f>
        <v>1</v>
      </c>
      <c r="J28" s="210">
        <f t="shared" si="10"/>
        <v>1</v>
      </c>
      <c r="K28" s="208">
        <f t="shared" si="11"/>
        <v>25</v>
      </c>
      <c r="L28" s="210">
        <f t="shared" si="12"/>
        <v>0.14534883720930233</v>
      </c>
      <c r="M28" s="77"/>
      <c r="O28" s="53" t="s">
        <v>10</v>
      </c>
      <c r="P28" s="65">
        <v>2</v>
      </c>
      <c r="Q28" s="65">
        <v>10</v>
      </c>
      <c r="R28" s="65">
        <v>1</v>
      </c>
      <c r="S28" s="65">
        <v>1</v>
      </c>
      <c r="T28" s="65">
        <v>2</v>
      </c>
      <c r="U28" s="65">
        <v>2</v>
      </c>
      <c r="V28" s="65">
        <v>1</v>
      </c>
      <c r="W28" s="65">
        <v>2</v>
      </c>
      <c r="X28" s="65">
        <v>1</v>
      </c>
      <c r="Y28" s="65">
        <v>2</v>
      </c>
      <c r="Z28" s="65">
        <v>0</v>
      </c>
      <c r="AA28" s="65">
        <v>0</v>
      </c>
      <c r="AB28" s="65">
        <v>0</v>
      </c>
      <c r="AC28" s="65">
        <v>0</v>
      </c>
      <c r="AD28" s="65">
        <v>1</v>
      </c>
      <c r="AE28" s="65">
        <v>0</v>
      </c>
      <c r="AK28" s="53" t="s">
        <v>10</v>
      </c>
    </row>
    <row r="29" spans="2:41" s="21" customFormat="1" ht="18.75" customHeight="1" thickTop="1" thickBot="1" x14ac:dyDescent="0.2">
      <c r="B29" s="232" t="s">
        <v>161</v>
      </c>
      <c r="C29" s="233">
        <f t="shared" ref="C29:L29" si="13">SUM(C20:C28)</f>
        <v>140</v>
      </c>
      <c r="D29" s="240">
        <f t="shared" si="13"/>
        <v>1</v>
      </c>
      <c r="E29" s="233">
        <f t="shared" si="13"/>
        <v>24</v>
      </c>
      <c r="F29" s="240">
        <f t="shared" si="13"/>
        <v>1</v>
      </c>
      <c r="G29" s="233">
        <f t="shared" si="13"/>
        <v>7</v>
      </c>
      <c r="H29" s="240">
        <f t="shared" si="13"/>
        <v>0.99999999999999989</v>
      </c>
      <c r="I29" s="233">
        <f t="shared" si="13"/>
        <v>1</v>
      </c>
      <c r="J29" s="240">
        <f t="shared" si="13"/>
        <v>1</v>
      </c>
      <c r="K29" s="233">
        <f t="shared" si="13"/>
        <v>172</v>
      </c>
      <c r="L29" s="240">
        <f t="shared" si="13"/>
        <v>1</v>
      </c>
      <c r="O29" s="425" t="s">
        <v>308</v>
      </c>
      <c r="P29" s="489" t="s">
        <v>182</v>
      </c>
      <c r="Q29" s="489" t="s">
        <v>183</v>
      </c>
      <c r="R29" s="489" t="s">
        <v>184</v>
      </c>
      <c r="S29" s="489" t="s">
        <v>185</v>
      </c>
      <c r="T29" s="489" t="s">
        <v>186</v>
      </c>
      <c r="U29" s="489" t="s">
        <v>187</v>
      </c>
      <c r="V29" s="489" t="s">
        <v>188</v>
      </c>
      <c r="W29" s="489" t="s">
        <v>189</v>
      </c>
      <c r="X29" s="489" t="s">
        <v>190</v>
      </c>
      <c r="Y29" s="489" t="s">
        <v>191</v>
      </c>
      <c r="Z29" s="489" t="s">
        <v>192</v>
      </c>
      <c r="AA29" s="489" t="s">
        <v>193</v>
      </c>
      <c r="AB29" s="489" t="s">
        <v>194</v>
      </c>
      <c r="AC29" s="489" t="s">
        <v>195</v>
      </c>
      <c r="AD29" s="489" t="s">
        <v>196</v>
      </c>
      <c r="AE29" s="55" t="s">
        <v>197</v>
      </c>
      <c r="AO29" s="58"/>
    </row>
    <row r="30" spans="2:41" s="21" customFormat="1" ht="18.75" customHeight="1" thickTop="1" x14ac:dyDescent="0.15">
      <c r="B30" s="235" t="s">
        <v>93</v>
      </c>
      <c r="C30" s="236">
        <f>IFERROR(INDEX(年齢階層×在院期間区分F00F01_65歳未満以上＿寛解・院内寛解[#All],MATCH($AK30,年齢階層×在院期間区分F00F01_65歳未満以上＿寛解・院内寛解[[#All],[列1]],0),MATCH($AL$3,年齢階層×在院期間区分F00F01_65歳未満以上＿寛解・院内寛解[#Headers],0)),0)+IFERROR(INDEX(年齢階層×在院期間区分F00F01_65歳未満以上＿寛解・院内寛解[#All],MATCH($AK30,年齢階層×在院期間区分F00F01_65歳未満以上＿寛解・院内寛解[[#All],[列1]],0),MATCH($AM$3,年齢階層×在院期間区分F00F01_65歳未満以上＿寛解・院内寛解[#Headers],0)),0)+IFERROR(INDEX(年齢階層×在院期間区分F00F01_65歳未満以上＿寛解・院内寛解[#All],MATCH($AK30,年齢階層×在院期間区分F00F01_65歳未満以上＿寛解・院内寛解[[#All],[列1]],0),MATCH($AN$3,年齢階層×在院期間区分F00F01_65歳未満以上＿寛解・院内寛解[#Headers],0)),0)+IFERROR(INDEX(年齢階層×在院期間区分F00F01_65歳未満以上＿寛解・院内寛解[#All],MATCH($AK30,年齢階層×在院期間区分F00F01_65歳未満以上＿寛解・院内寛解[[#All],[列1]],0),MATCH($AO$3,年齢階層×在院期間区分F00F01_65歳未満以上＿寛解・院内寛解[#Headers],0)),0)</f>
        <v>4</v>
      </c>
      <c r="D30" s="221">
        <f>IFERROR(C30/$C$29,"-")</f>
        <v>2.8571428571428571E-2</v>
      </c>
      <c r="E30" s="236">
        <f>IFERROR(INDEX(年齢階層×在院期間区分F00F01_65歳未満以上＿寛解・院内寛解[#All],MATCH($AK30,年齢階層×在院期間区分F00F01_65歳未満以上＿寛解・院内寛解[[#All],[列1]],0),MATCH($AP$3,年齢階層×在院期間区分F00F01_65歳未満以上＿寛解・院内寛解[#Headers],0)),0)+IFERROR(INDEX(年齢階層×在院期間区分F00F01_65歳未満以上＿寛解・院内寛解[#All],MATCH($AK30,年齢階層×在院期間区分F00F01_65歳未満以上＿寛解・院内寛解[[#All],[列1]],0),MATCH($AQ$3,年齢階層×在院期間区分F00F01_65歳未満以上＿寛解・院内寛解[#Headers],0)),0)+IFERROR(INDEX(年齢階層×在院期間区分F00F01_65歳未満以上＿寛解・院内寛解[#All],MATCH($AK30,年齢階層×在院期間区分F00F01_65歳未満以上＿寛解・院内寛解[[#All],[列1]],0),MATCH($AR$3,年齢階層×在院期間区分F00F01_65歳未満以上＿寛解・院内寛解[#Headers],0)),0)+IFERROR(INDEX(年齢階層×在院期間区分F00F01_65歳未満以上＿寛解・院内寛解[#All],MATCH($AK30,年齢階層×在院期間区分F00F01_65歳未満以上＿寛解・院内寛解[[#All],[列1]],0),MATCH($AS$3,年齢階層×在院期間区分F00F01_65歳未満以上＿寛解・院内寛解[#Headers],0)),0)+IFERROR(INDEX(年齢階層×在院期間区分F00F01_65歳未満以上＿寛解・院内寛解[#All],MATCH($AK30,年齢階層×在院期間区分F00F01_65歳未満以上＿寛解・院内寛解[[#All],[列1]],0),MATCH($AT$3,年齢階層×在院期間区分F00F01_65歳未満以上＿寛解・院内寛解[#Headers],0)),0)</f>
        <v>0</v>
      </c>
      <c r="F30" s="221">
        <f>IFERROR(E30/$E$29,"-")</f>
        <v>0</v>
      </c>
      <c r="G30" s="236">
        <f>IFERROR(INDEX(年齢階層×在院期間区分F00F01_65歳未満以上＿寛解・院内寛解[#All],MATCH($AK30,年齢階層×在院期間区分F00F01_65歳未満以上＿寛解・院内寛解[[#All],[列1]],0),MATCH($AU$3,年齢階層×在院期間区分F00F01_65歳未満以上＿寛解・院内寛解[#Headers],0)),0)+IFERROR(INDEX(年齢階層×在院期間区分F00F01_65歳未満以上＿寛解・院内寛解[#All],MATCH($AK30,年齢階層×在院期間区分F00F01_65歳未満以上＿寛解・院内寛解[[#All],[列1]],0),MATCH($AV$3,年齢階層×在院期間区分F00F01_65歳未満以上＿寛解・院内寛解[#Headers],0)),0)+IFERROR(INDEX(年齢階層×在院期間区分F00F01_65歳未満以上＿寛解・院内寛解[#All],MATCH($AK30,年齢階層×在院期間区分F00F01_65歳未満以上＿寛解・院内寛解[[#All],[列1]],0),MATCH($AW$3,年齢階層×在院期間区分F00F01_65歳未満以上＿寛解・院内寛解[#Headers],0)),0)+IFERROR(INDEX(年齢階層×在院期間区分F00F01_65歳未満以上＿寛解・院内寛解[#All],MATCH($AK30,年齢階層×在院期間区分F00F01_65歳未満以上＿寛解・院内寛解[[#All],[列1]],0),MATCH($AX$3,年齢階層×在院期間区分F00F01_65歳未満以上＿寛解・院内寛解[#Headers],0)),0)+IFERROR(INDEX(年齢階層×在院期間区分F00F01_65歳未満以上＿寛解・院内寛解[#All],MATCH($AK30,年齢階層×在院期間区分F00F01_65歳未満以上＿寛解・院内寛解[[#All],[列1]],0),MATCH($AY$3,年齢階層×在院期間区分F00F01_65歳未満以上＿寛解・院内寛解[#Headers],0)),0)</f>
        <v>0</v>
      </c>
      <c r="H30" s="221">
        <f>IFERROR(G30/$G$29,"-")</f>
        <v>0</v>
      </c>
      <c r="I30" s="236">
        <f>IFERROR(INDEX(年齢階層×在院期間区分F00F01_65歳未満以上＿寛解・院内寛解[#All],MATCH($AK30,年齢階層×在院期間区分F00F01_65歳未満以上＿寛解・院内寛解[[#All],[列1]],0),MATCH($AZ$3,年齢階層×在院期間区分F00F01_65歳未満以上＿寛解・院内寛解[#Headers],0)),0)+IFERROR(INDEX(年齢階層×在院期間区分F00F01_65歳未満以上＿寛解・院内寛解[#All],MATCH($AK30,年齢階層×在院期間区分F00F01_65歳未満以上＿寛解・院内寛解[[#All],[列1]],0),MATCH($BA$3,年齢階層×在院期間区分F00F01_65歳未満以上＿寛解・院内寛解[#Headers],0)),0)</f>
        <v>0</v>
      </c>
      <c r="J30" s="221">
        <f>IFERROR(I30/$I$29,"-")</f>
        <v>0</v>
      </c>
      <c r="K30" s="236">
        <f>C30+E30+G30+I30</f>
        <v>4</v>
      </c>
      <c r="L30" s="221">
        <f>IFERROR(K30/$K$29,"-")</f>
        <v>2.3255813953488372E-2</v>
      </c>
      <c r="O30" s="53" t="s">
        <v>306</v>
      </c>
      <c r="P30" s="65">
        <v>0</v>
      </c>
      <c r="Q30" s="65">
        <v>2</v>
      </c>
      <c r="R30" s="65">
        <v>1</v>
      </c>
      <c r="S30" s="65">
        <v>1</v>
      </c>
      <c r="T30" s="65">
        <v>0</v>
      </c>
      <c r="U30" s="65">
        <v>0</v>
      </c>
      <c r="V30" s="65">
        <v>0</v>
      </c>
      <c r="W30" s="65">
        <v>0</v>
      </c>
      <c r="X30" s="65">
        <v>0</v>
      </c>
      <c r="Y30" s="65">
        <v>0</v>
      </c>
      <c r="Z30" s="65">
        <v>0</v>
      </c>
      <c r="AA30" s="65">
        <v>0</v>
      </c>
      <c r="AB30" s="65">
        <v>0</v>
      </c>
      <c r="AC30" s="65">
        <v>0</v>
      </c>
      <c r="AD30" s="65">
        <v>0</v>
      </c>
      <c r="AE30" s="65">
        <v>0</v>
      </c>
      <c r="AK30" s="82" t="s">
        <v>156</v>
      </c>
    </row>
    <row r="31" spans="2:41" ht="18.75" customHeight="1" x14ac:dyDescent="0.15">
      <c r="B31" s="237" t="s">
        <v>89</v>
      </c>
      <c r="C31" s="236">
        <f>IFERROR(INDEX(年齢階層×在院期間区分F00F01_65歳未満以上＿寛解・院内寛解[#All],MATCH($AK31,年齢階層×在院期間区分F00F01_65歳未満以上＿寛解・院内寛解[[#All],[列1]],0),MATCH($AL$3,年齢階層×在院期間区分F00F01_65歳未満以上＿寛解・院内寛解[#Headers],0)),0)+IFERROR(INDEX(年齢階層×在院期間区分F00F01_65歳未満以上＿寛解・院内寛解[#All],MATCH($AK31,年齢階層×在院期間区分F00F01_65歳未満以上＿寛解・院内寛解[[#All],[列1]],0),MATCH($AM$3,年齢階層×在院期間区分F00F01_65歳未満以上＿寛解・院内寛解[#Headers],0)),0)+IFERROR(INDEX(年齢階層×在院期間区分F00F01_65歳未満以上＿寛解・院内寛解[#All],MATCH($AK31,年齢階層×在院期間区分F00F01_65歳未満以上＿寛解・院内寛解[[#All],[列1]],0),MATCH($AN$3,年齢階層×在院期間区分F00F01_65歳未満以上＿寛解・院内寛解[#Headers],0)),0)+IFERROR(INDEX(年齢階層×在院期間区分F00F01_65歳未満以上＿寛解・院内寛解[#All],MATCH($AK31,年齢階層×在院期間区分F00F01_65歳未満以上＿寛解・院内寛解[[#All],[列1]],0),MATCH($AO$3,年齢階層×在院期間区分F00F01_65歳未満以上＿寛解・院内寛解[#Headers],0)),0)</f>
        <v>136</v>
      </c>
      <c r="D31" s="238">
        <f>IFERROR(C31/$C$29,"-")</f>
        <v>0.97142857142857142</v>
      </c>
      <c r="E31" s="236">
        <f>IFERROR(INDEX(年齢階層×在院期間区分F00F01_65歳未満以上＿寛解・院内寛解[#All],MATCH($AK31,年齢階層×在院期間区分F00F01_65歳未満以上＿寛解・院内寛解[[#All],[列1]],0),MATCH($AP$3,年齢階層×在院期間区分F00F01_65歳未満以上＿寛解・院内寛解[#Headers],0)),0)+IFERROR(INDEX(年齢階層×在院期間区分F00F01_65歳未満以上＿寛解・院内寛解[#All],MATCH($AK31,年齢階層×在院期間区分F00F01_65歳未満以上＿寛解・院内寛解[[#All],[列1]],0),MATCH($AQ$3,年齢階層×在院期間区分F00F01_65歳未満以上＿寛解・院内寛解[#Headers],0)),0)+IFERROR(INDEX(年齢階層×在院期間区分F00F01_65歳未満以上＿寛解・院内寛解[#All],MATCH($AK31,年齢階層×在院期間区分F00F01_65歳未満以上＿寛解・院内寛解[[#All],[列1]],0),MATCH($AR$3,年齢階層×在院期間区分F00F01_65歳未満以上＿寛解・院内寛解[#Headers],0)),0)+IFERROR(INDEX(年齢階層×在院期間区分F00F01_65歳未満以上＿寛解・院内寛解[#All],MATCH($AK31,年齢階層×在院期間区分F00F01_65歳未満以上＿寛解・院内寛解[[#All],[列1]],0),MATCH($AS$3,年齢階層×在院期間区分F00F01_65歳未満以上＿寛解・院内寛解[#Headers],0)),0)+IFERROR(INDEX(年齢階層×在院期間区分F00F01_65歳未満以上＿寛解・院内寛解[#All],MATCH($AK31,年齢階層×在院期間区分F00F01_65歳未満以上＿寛解・院内寛解[[#All],[列1]],0),MATCH($AT$3,年齢階層×在院期間区分F00F01_65歳未満以上＿寛解・院内寛解[#Headers],0)),0)</f>
        <v>24</v>
      </c>
      <c r="F31" s="238">
        <f>IFERROR(E31/$E$29,"-")</f>
        <v>1</v>
      </c>
      <c r="G31" s="236">
        <f>IFERROR(INDEX(年齢階層×在院期間区分F00F01_65歳未満以上＿寛解・院内寛解[#All],MATCH($AK31,年齢階層×在院期間区分F00F01_65歳未満以上＿寛解・院内寛解[[#All],[列1]],0),MATCH($AU$3,年齢階層×在院期間区分F00F01_65歳未満以上＿寛解・院内寛解[#Headers],0)),0)+IFERROR(INDEX(年齢階層×在院期間区分F00F01_65歳未満以上＿寛解・院内寛解[#All],MATCH($AK31,年齢階層×在院期間区分F00F01_65歳未満以上＿寛解・院内寛解[[#All],[列1]],0),MATCH($AV$3,年齢階層×在院期間区分F00F01_65歳未満以上＿寛解・院内寛解[#Headers],0)),0)+IFERROR(INDEX(年齢階層×在院期間区分F00F01_65歳未満以上＿寛解・院内寛解[#All],MATCH($AK31,年齢階層×在院期間区分F00F01_65歳未満以上＿寛解・院内寛解[[#All],[列1]],0),MATCH($AW$3,年齢階層×在院期間区分F00F01_65歳未満以上＿寛解・院内寛解[#Headers],0)),0)+IFERROR(INDEX(年齢階層×在院期間区分F00F01_65歳未満以上＿寛解・院内寛解[#All],MATCH($AK31,年齢階層×在院期間区分F00F01_65歳未満以上＿寛解・院内寛解[[#All],[列1]],0),MATCH($AX$3,年齢階層×在院期間区分F00F01_65歳未満以上＿寛解・院内寛解[#Headers],0)),0)+IFERROR(INDEX(年齢階層×在院期間区分F00F01_65歳未満以上＿寛解・院内寛解[#All],MATCH($AK31,年齢階層×在院期間区分F00F01_65歳未満以上＿寛解・院内寛解[[#All],[列1]],0),MATCH($AY$3,年齢階層×在院期間区分F00F01_65歳未満以上＿寛解・院内寛解[#Headers],0)),0)</f>
        <v>7</v>
      </c>
      <c r="H31" s="238">
        <f>IFERROR(G31/$G$29,"-")</f>
        <v>1</v>
      </c>
      <c r="I31" s="236">
        <f>IFERROR(INDEX(年齢階層×在院期間区分F00F01_65歳未満以上＿寛解・院内寛解[#All],MATCH($AK31,年齢階層×在院期間区分F00F01_65歳未満以上＿寛解・院内寛解[[#All],[列1]],0),MATCH($AZ$3,年齢階層×在院期間区分F00F01_65歳未満以上＿寛解・院内寛解[#Headers],0)),0)+IFERROR(INDEX(年齢階層×在院期間区分F00F01_65歳未満以上＿寛解・院内寛解[#All],MATCH($AK31,年齢階層×在院期間区分F00F01_65歳未満以上＿寛解・院内寛解[[#All],[列1]],0),MATCH($BA$3,年齢階層×在院期間区分F00F01_65歳未満以上＿寛解・院内寛解[#Headers],0)),0)</f>
        <v>1</v>
      </c>
      <c r="J31" s="238">
        <f>IFERROR(I31/$I$29,"-")</f>
        <v>1</v>
      </c>
      <c r="K31" s="236">
        <f>C31+E31+G31+I31</f>
        <v>168</v>
      </c>
      <c r="L31" s="238">
        <f>IFERROR(K31/$K$29,"-")</f>
        <v>0.97674418604651159</v>
      </c>
      <c r="O31" s="82" t="s">
        <v>307</v>
      </c>
      <c r="P31" s="65">
        <v>27</v>
      </c>
      <c r="Q31" s="65">
        <v>54</v>
      </c>
      <c r="R31" s="65">
        <v>23</v>
      </c>
      <c r="S31" s="65">
        <v>32</v>
      </c>
      <c r="T31" s="65">
        <v>3</v>
      </c>
      <c r="U31" s="65">
        <v>12</v>
      </c>
      <c r="V31" s="65">
        <v>3</v>
      </c>
      <c r="W31" s="65">
        <v>4</v>
      </c>
      <c r="X31" s="65">
        <v>2</v>
      </c>
      <c r="Y31" s="65">
        <v>4</v>
      </c>
      <c r="Z31" s="65">
        <v>0</v>
      </c>
      <c r="AA31" s="65">
        <v>2</v>
      </c>
      <c r="AB31" s="65">
        <v>0</v>
      </c>
      <c r="AC31" s="65">
        <v>1</v>
      </c>
      <c r="AD31" s="65">
        <v>1</v>
      </c>
      <c r="AE31" s="65">
        <v>0</v>
      </c>
      <c r="AK31" s="82" t="s">
        <v>88</v>
      </c>
    </row>
    <row r="32" spans="2:41" ht="18.75" customHeight="1" x14ac:dyDescent="0.15">
      <c r="F32" s="66"/>
      <c r="H32" s="66"/>
      <c r="J32" s="66"/>
      <c r="K32" s="44"/>
    </row>
    <row r="33" spans="2:49" ht="18.75" customHeight="1" x14ac:dyDescent="0.15"/>
    <row r="34" spans="2:49" ht="18.75" customHeight="1" x14ac:dyDescent="0.15">
      <c r="C34" s="52"/>
      <c r="D34" s="61"/>
      <c r="E34" s="61"/>
      <c r="F34" s="61"/>
      <c r="G34" s="61"/>
      <c r="H34" s="61"/>
      <c r="I34" s="61"/>
      <c r="J34" s="61"/>
      <c r="K34" s="61"/>
      <c r="L34" s="61"/>
      <c r="M34" s="61"/>
      <c r="N34" s="61"/>
      <c r="O34" s="61"/>
      <c r="P34" s="61"/>
      <c r="Q34" s="61"/>
      <c r="R34" s="83"/>
    </row>
    <row r="35" spans="2:49" x14ac:dyDescent="0.15">
      <c r="B35" s="37"/>
      <c r="C35" s="22"/>
      <c r="D35" s="22"/>
      <c r="E35" s="22"/>
      <c r="F35" s="22"/>
      <c r="G35" s="22"/>
      <c r="H35" s="22"/>
      <c r="I35" s="22"/>
      <c r="J35" s="22"/>
      <c r="K35" s="22"/>
      <c r="L35" s="22"/>
      <c r="M35" s="22"/>
      <c r="N35" s="22"/>
      <c r="O35" s="22"/>
      <c r="P35" s="22"/>
      <c r="Q35" s="22"/>
      <c r="R35" s="22"/>
      <c r="S35" s="22"/>
    </row>
    <row r="36" spans="2:49" x14ac:dyDescent="0.15">
      <c r="B36" s="37"/>
      <c r="C36" s="22"/>
      <c r="D36" s="22"/>
      <c r="E36" s="22"/>
      <c r="F36" s="22"/>
      <c r="G36" s="22"/>
      <c r="H36" s="22"/>
      <c r="I36" s="22"/>
      <c r="J36" s="22"/>
      <c r="K36" s="22"/>
      <c r="L36" s="22"/>
      <c r="M36" s="22"/>
      <c r="N36" s="22"/>
      <c r="O36" s="22"/>
      <c r="P36" s="22"/>
      <c r="Q36" s="22"/>
      <c r="R36" s="22"/>
      <c r="S36" s="22"/>
    </row>
    <row r="37" spans="2:49" x14ac:dyDescent="0.15">
      <c r="B37" s="49"/>
      <c r="C37" s="84"/>
      <c r="D37" s="84"/>
      <c r="E37" s="84"/>
      <c r="F37" s="84"/>
      <c r="G37" s="84"/>
      <c r="H37" s="84"/>
      <c r="I37" s="84"/>
      <c r="J37" s="84"/>
      <c r="K37" s="84"/>
      <c r="L37" s="84"/>
      <c r="M37" s="84"/>
      <c r="N37" s="84"/>
      <c r="O37" s="84"/>
      <c r="P37" s="84"/>
      <c r="Q37" s="84"/>
      <c r="R37" s="84"/>
      <c r="S37" s="84"/>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row>
    <row r="38" spans="2:49" ht="35.25" customHeight="1" x14ac:dyDescent="0.15">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row>
    <row r="39" spans="2:49" x14ac:dyDescent="0.15">
      <c r="B39" s="7"/>
      <c r="C39" s="85"/>
      <c r="D39" s="85"/>
      <c r="E39" s="85"/>
      <c r="F39" s="85"/>
      <c r="G39" s="85"/>
      <c r="H39" s="85"/>
      <c r="I39" s="85"/>
      <c r="J39" s="85"/>
      <c r="K39" s="85"/>
      <c r="L39" s="85"/>
      <c r="M39" s="85"/>
      <c r="N39" s="85"/>
      <c r="O39" s="85"/>
      <c r="P39" s="85"/>
      <c r="Q39" s="85"/>
      <c r="R39" s="85"/>
      <c r="S39" s="85"/>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row>
    <row r="40" spans="2:49" x14ac:dyDescent="0.15">
      <c r="B40" s="7"/>
      <c r="C40" s="85"/>
      <c r="D40" s="85"/>
      <c r="E40" s="85"/>
      <c r="F40" s="85"/>
      <c r="G40" s="85"/>
      <c r="H40" s="85"/>
      <c r="I40" s="85"/>
      <c r="J40" s="85"/>
      <c r="K40" s="85"/>
      <c r="L40" s="85"/>
      <c r="M40" s="85"/>
      <c r="N40" s="85"/>
      <c r="O40" s="85"/>
      <c r="P40" s="85"/>
      <c r="Q40" s="85"/>
      <c r="R40" s="85"/>
      <c r="S40" s="85"/>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row>
    <row r="41" spans="2:49" x14ac:dyDescent="0.15">
      <c r="B41" s="7"/>
      <c r="C41" s="85"/>
      <c r="D41" s="85"/>
      <c r="E41" s="85"/>
      <c r="F41" s="85"/>
      <c r="G41" s="85"/>
      <c r="H41" s="85"/>
      <c r="I41" s="85"/>
      <c r="J41" s="85"/>
      <c r="K41" s="85"/>
      <c r="L41" s="85"/>
      <c r="M41" s="85"/>
      <c r="N41" s="85"/>
      <c r="O41" s="85"/>
      <c r="P41" s="85"/>
      <c r="Q41" s="85"/>
      <c r="R41" s="85"/>
      <c r="S41" s="85"/>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row>
    <row r="42" spans="2:49" x14ac:dyDescent="0.15">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row>
    <row r="43" spans="2:49" x14ac:dyDescent="0.15">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row>
    <row r="44" spans="2:49" x14ac:dyDescent="0.15">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row>
    <row r="45" spans="2:49" x14ac:dyDescent="0.15">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row>
    <row r="46" spans="2:49" x14ac:dyDescent="0.15">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row>
    <row r="47" spans="2:49" x14ac:dyDescent="0.15">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row>
    <row r="48" spans="2:49" x14ac:dyDescent="0.15">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row>
    <row r="49" spans="2:49" x14ac:dyDescent="0.15">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row>
    <row r="50" spans="2:49" x14ac:dyDescent="0.15">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row>
    <row r="51" spans="2:49" x14ac:dyDescent="0.15">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row>
    <row r="52" spans="2:49" x14ac:dyDescent="0.15">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row>
    <row r="53" spans="2:49" x14ac:dyDescent="0.15">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row>
    <row r="54" spans="2:49" x14ac:dyDescent="0.15">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row>
    <row r="55" spans="2:49" x14ac:dyDescent="0.15">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row>
    <row r="56" spans="2:49" x14ac:dyDescent="0.15">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row>
    <row r="57" spans="2:49" x14ac:dyDescent="0.15">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row>
    <row r="58" spans="2:49" x14ac:dyDescent="0.15">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row>
    <row r="59" spans="2:49" x14ac:dyDescent="0.15">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row>
    <row r="60" spans="2:49" x14ac:dyDescent="0.15">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row>
    <row r="61" spans="2:49" x14ac:dyDescent="0.15">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row>
    <row r="62" spans="2:49" x14ac:dyDescent="0.15">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row>
    <row r="63" spans="2:49" x14ac:dyDescent="0.15">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row>
    <row r="64" spans="2:49" x14ac:dyDescent="0.15">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row>
    <row r="65" spans="2:49" x14ac:dyDescent="0.15">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row>
    <row r="66" spans="2:49" x14ac:dyDescent="0.15">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row>
    <row r="67" spans="2:49" x14ac:dyDescent="0.15">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row>
    <row r="68" spans="2:49" x14ac:dyDescent="0.15">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row>
    <row r="69" spans="2:49" x14ac:dyDescent="0.15">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row>
    <row r="70" spans="2:49" x14ac:dyDescent="0.15">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row>
    <row r="71" spans="2:49" x14ac:dyDescent="0.15">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row>
    <row r="72" spans="2:49" x14ac:dyDescent="0.15">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row>
    <row r="73" spans="2:49" x14ac:dyDescent="0.15">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row>
    <row r="74" spans="2:49" x14ac:dyDescent="0.15">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row>
    <row r="75" spans="2:49" x14ac:dyDescent="0.15">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row>
    <row r="76" spans="2:49" x14ac:dyDescent="0.15">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row>
    <row r="77" spans="2:49" x14ac:dyDescent="0.15">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row>
    <row r="78" spans="2:49" x14ac:dyDescent="0.15">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row>
    <row r="79" spans="2:49" x14ac:dyDescent="0.15">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row>
    <row r="80" spans="2:49" x14ac:dyDescent="0.15">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row>
    <row r="81" spans="2:49" x14ac:dyDescent="0.15">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row>
    <row r="82" spans="2:49" x14ac:dyDescent="0.15">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row>
    <row r="83" spans="2:49" x14ac:dyDescent="0.15">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row>
    <row r="84" spans="2:49" x14ac:dyDescent="0.15">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row>
    <row r="85" spans="2:49" x14ac:dyDescent="0.15">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row>
    <row r="86" spans="2:49" x14ac:dyDescent="0.15">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row>
    <row r="87" spans="2:49" x14ac:dyDescent="0.15">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row>
    <row r="88" spans="2:49" x14ac:dyDescent="0.15">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row>
    <row r="89" spans="2:49" x14ac:dyDescent="0.15">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row>
    <row r="90" spans="2:49" x14ac:dyDescent="0.15">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row>
    <row r="91" spans="2:49" x14ac:dyDescent="0.15">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row>
    <row r="92" spans="2:49" x14ac:dyDescent="0.15">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row>
    <row r="93" spans="2:49" x14ac:dyDescent="0.15">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row>
    <row r="94" spans="2:49" x14ac:dyDescent="0.15">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row>
    <row r="95" spans="2:49" x14ac:dyDescent="0.15">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row>
    <row r="96" spans="2:49" x14ac:dyDescent="0.15">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row>
    <row r="97" spans="2:49" x14ac:dyDescent="0.15">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row>
    <row r="98" spans="2:49" x14ac:dyDescent="0.15">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row>
    <row r="99" spans="2:49" x14ac:dyDescent="0.15">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row>
    <row r="100" spans="2:49" x14ac:dyDescent="0.15">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row>
    <row r="101" spans="2:49" x14ac:dyDescent="0.15">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row>
    <row r="102" spans="2:49" x14ac:dyDescent="0.15">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row>
    <row r="103" spans="2:49" x14ac:dyDescent="0.15">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row>
    <row r="104" spans="2:49" x14ac:dyDescent="0.15">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row>
    <row r="105" spans="2:49" x14ac:dyDescent="0.15">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row>
    <row r="106" spans="2:49" x14ac:dyDescent="0.15">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row>
    <row r="107" spans="2:49" x14ac:dyDescent="0.15">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row>
    <row r="108" spans="2:49" x14ac:dyDescent="0.15">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row>
    <row r="109" spans="2:49" x14ac:dyDescent="0.15">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row>
    <row r="110" spans="2:49" x14ac:dyDescent="0.15">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row>
    <row r="111" spans="2:49" x14ac:dyDescent="0.15">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row>
    <row r="112" spans="2:49" x14ac:dyDescent="0.15">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row>
    <row r="113" spans="2:49" x14ac:dyDescent="0.15">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row>
    <row r="114" spans="2:49" x14ac:dyDescent="0.15">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row>
    <row r="115" spans="2:49" x14ac:dyDescent="0.15">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row>
    <row r="116" spans="2:49" x14ac:dyDescent="0.15">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row>
    <row r="117" spans="2:49" x14ac:dyDescent="0.15">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row>
    <row r="118" spans="2:49" x14ac:dyDescent="0.15">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row>
    <row r="119" spans="2:49" x14ac:dyDescent="0.15">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row>
    <row r="120" spans="2:49" x14ac:dyDescent="0.15">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row>
    <row r="121" spans="2:49" x14ac:dyDescent="0.15">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row>
    <row r="122" spans="2:49" x14ac:dyDescent="0.15">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row>
    <row r="123" spans="2:49" x14ac:dyDescent="0.15">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row>
    <row r="124" spans="2:49" x14ac:dyDescent="0.15">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row>
    <row r="125" spans="2:49" x14ac:dyDescent="0.15">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row>
    <row r="126" spans="2:49" x14ac:dyDescent="0.15">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row>
    <row r="127" spans="2:49" x14ac:dyDescent="0.15">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row>
    <row r="128" spans="2:49" x14ac:dyDescent="0.15">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row>
    <row r="129" spans="2:49" x14ac:dyDescent="0.15">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c r="AP129" s="21"/>
      <c r="AQ129" s="21"/>
      <c r="AR129" s="21"/>
      <c r="AS129" s="21"/>
      <c r="AT129" s="21"/>
      <c r="AU129" s="21"/>
      <c r="AV129" s="21"/>
      <c r="AW129" s="21"/>
    </row>
    <row r="130" spans="2:49" x14ac:dyDescent="0.15">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c r="AP130" s="21"/>
      <c r="AQ130" s="21"/>
      <c r="AR130" s="21"/>
      <c r="AS130" s="21"/>
      <c r="AT130" s="21"/>
      <c r="AU130" s="21"/>
      <c r="AV130" s="21"/>
      <c r="AW130" s="21"/>
    </row>
    <row r="131" spans="2:49" x14ac:dyDescent="0.15">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c r="AP131" s="21"/>
      <c r="AQ131" s="21"/>
      <c r="AR131" s="21"/>
      <c r="AS131" s="21"/>
      <c r="AT131" s="21"/>
      <c r="AU131" s="21"/>
      <c r="AV131" s="21"/>
      <c r="AW131" s="21"/>
    </row>
    <row r="132" spans="2:49" x14ac:dyDescent="0.15">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c r="AP132" s="21"/>
      <c r="AQ132" s="21"/>
      <c r="AR132" s="21"/>
      <c r="AS132" s="21"/>
      <c r="AT132" s="21"/>
      <c r="AU132" s="21"/>
      <c r="AV132" s="21"/>
      <c r="AW132" s="21"/>
    </row>
    <row r="133" spans="2:49" x14ac:dyDescent="0.15">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c r="AP133" s="21"/>
      <c r="AQ133" s="21"/>
      <c r="AR133" s="21"/>
      <c r="AS133" s="21"/>
      <c r="AT133" s="21"/>
      <c r="AU133" s="21"/>
      <c r="AV133" s="21"/>
      <c r="AW133" s="21"/>
    </row>
    <row r="134" spans="2:49" x14ac:dyDescent="0.15">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21"/>
      <c r="AU134" s="21"/>
      <c r="AV134" s="21"/>
      <c r="AW134" s="21"/>
    </row>
    <row r="135" spans="2:49" x14ac:dyDescent="0.15">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21"/>
    </row>
    <row r="136" spans="2:49" x14ac:dyDescent="0.15">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c r="AP136" s="21"/>
      <c r="AQ136" s="21"/>
      <c r="AR136" s="21"/>
      <c r="AS136" s="21"/>
      <c r="AT136" s="21"/>
      <c r="AU136" s="21"/>
      <c r="AV136" s="21"/>
      <c r="AW136" s="21"/>
    </row>
    <row r="137" spans="2:49" x14ac:dyDescent="0.15">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row>
    <row r="138" spans="2:49" x14ac:dyDescent="0.15">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row>
    <row r="139" spans="2:49" x14ac:dyDescent="0.15">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c r="AN139" s="21"/>
      <c r="AO139" s="21"/>
      <c r="AP139" s="21"/>
      <c r="AQ139" s="21"/>
      <c r="AR139" s="21"/>
      <c r="AS139" s="21"/>
      <c r="AT139" s="21"/>
      <c r="AU139" s="21"/>
      <c r="AV139" s="21"/>
      <c r="AW139" s="21"/>
    </row>
    <row r="140" spans="2:49" x14ac:dyDescent="0.15">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c r="AP140" s="21"/>
      <c r="AQ140" s="21"/>
      <c r="AR140" s="21"/>
      <c r="AS140" s="21"/>
      <c r="AT140" s="21"/>
      <c r="AU140" s="21"/>
      <c r="AV140" s="21"/>
      <c r="AW140" s="21"/>
    </row>
    <row r="141" spans="2:49" x14ac:dyDescent="0.15">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c r="AP141" s="21"/>
      <c r="AQ141" s="21"/>
      <c r="AR141" s="21"/>
      <c r="AS141" s="21"/>
      <c r="AT141" s="21"/>
      <c r="AU141" s="21"/>
      <c r="AV141" s="21"/>
      <c r="AW141" s="21"/>
    </row>
    <row r="142" spans="2:49" x14ac:dyDescent="0.15">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c r="AM142" s="21"/>
      <c r="AN142" s="21"/>
      <c r="AO142" s="21"/>
      <c r="AP142" s="21"/>
      <c r="AQ142" s="21"/>
      <c r="AR142" s="21"/>
      <c r="AS142" s="21"/>
      <c r="AT142" s="21"/>
      <c r="AU142" s="21"/>
      <c r="AV142" s="21"/>
      <c r="AW142" s="21"/>
    </row>
    <row r="143" spans="2:49" x14ac:dyDescent="0.15">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1"/>
      <c r="AN143" s="21"/>
      <c r="AO143" s="21"/>
      <c r="AP143" s="21"/>
      <c r="AQ143" s="21"/>
      <c r="AR143" s="21"/>
      <c r="AS143" s="21"/>
      <c r="AT143" s="21"/>
      <c r="AU143" s="21"/>
      <c r="AV143" s="21"/>
      <c r="AW143" s="21"/>
    </row>
    <row r="144" spans="2:49" x14ac:dyDescent="0.15">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c r="AM144" s="21"/>
      <c r="AN144" s="21"/>
      <c r="AO144" s="21"/>
      <c r="AP144" s="21"/>
      <c r="AQ144" s="21"/>
      <c r="AR144" s="21"/>
      <c r="AS144" s="21"/>
      <c r="AT144" s="21"/>
      <c r="AU144" s="21"/>
      <c r="AV144" s="21"/>
      <c r="AW144" s="21"/>
    </row>
    <row r="145" spans="2:49" x14ac:dyDescent="0.15">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c r="AL145" s="21"/>
      <c r="AM145" s="21"/>
      <c r="AN145" s="21"/>
      <c r="AO145" s="21"/>
      <c r="AP145" s="21"/>
      <c r="AQ145" s="21"/>
      <c r="AR145" s="21"/>
      <c r="AS145" s="21"/>
      <c r="AT145" s="21"/>
      <c r="AU145" s="21"/>
      <c r="AV145" s="21"/>
      <c r="AW145" s="21"/>
    </row>
    <row r="146" spans="2:49" x14ac:dyDescent="0.15">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c r="AM146" s="21"/>
      <c r="AN146" s="21"/>
      <c r="AO146" s="21"/>
      <c r="AP146" s="21"/>
      <c r="AQ146" s="21"/>
      <c r="AR146" s="21"/>
      <c r="AS146" s="21"/>
      <c r="AT146" s="21"/>
      <c r="AU146" s="21"/>
      <c r="AV146" s="21"/>
      <c r="AW146" s="21"/>
    </row>
    <row r="147" spans="2:49" x14ac:dyDescent="0.15">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c r="AM147" s="21"/>
      <c r="AN147" s="21"/>
      <c r="AO147" s="21"/>
      <c r="AP147" s="21"/>
      <c r="AQ147" s="21"/>
      <c r="AR147" s="21"/>
      <c r="AS147" s="21"/>
      <c r="AT147" s="21"/>
      <c r="AU147" s="21"/>
      <c r="AV147" s="21"/>
      <c r="AW147" s="21"/>
    </row>
    <row r="148" spans="2:49" x14ac:dyDescent="0.15">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row>
    <row r="149" spans="2:49" x14ac:dyDescent="0.15">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T149" s="21"/>
      <c r="AU149" s="21"/>
      <c r="AV149" s="21"/>
      <c r="AW149" s="21"/>
    </row>
    <row r="150" spans="2:49" x14ac:dyDescent="0.15">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c r="AW150" s="21"/>
    </row>
    <row r="151" spans="2:49" x14ac:dyDescent="0.15">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c r="AM151" s="21"/>
      <c r="AN151" s="21"/>
      <c r="AO151" s="21"/>
      <c r="AP151" s="21"/>
      <c r="AQ151" s="21"/>
      <c r="AR151" s="21"/>
      <c r="AS151" s="21"/>
      <c r="AT151" s="21"/>
      <c r="AU151" s="21"/>
      <c r="AV151" s="21"/>
      <c r="AW151" s="21"/>
    </row>
    <row r="152" spans="2:49" x14ac:dyDescent="0.15">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row>
    <row r="153" spans="2:49" x14ac:dyDescent="0.15">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21"/>
      <c r="AT153" s="21"/>
      <c r="AU153" s="21"/>
      <c r="AV153" s="21"/>
      <c r="AW153" s="21"/>
    </row>
    <row r="154" spans="2:49" x14ac:dyDescent="0.15">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c r="AP154" s="21"/>
      <c r="AQ154" s="21"/>
      <c r="AR154" s="21"/>
      <c r="AS154" s="21"/>
      <c r="AT154" s="21"/>
      <c r="AU154" s="21"/>
      <c r="AV154" s="21"/>
      <c r="AW154" s="21"/>
    </row>
    <row r="155" spans="2:49" x14ac:dyDescent="0.15">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c r="AM155" s="21"/>
      <c r="AN155" s="21"/>
      <c r="AO155" s="21"/>
      <c r="AP155" s="21"/>
      <c r="AQ155" s="21"/>
      <c r="AR155" s="21"/>
      <c r="AS155" s="21"/>
      <c r="AT155" s="21"/>
      <c r="AU155" s="21"/>
      <c r="AV155" s="21"/>
      <c r="AW155" s="21"/>
    </row>
    <row r="156" spans="2:49" x14ac:dyDescent="0.15">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c r="AM156" s="21"/>
      <c r="AN156" s="21"/>
      <c r="AO156" s="21"/>
      <c r="AP156" s="21"/>
      <c r="AQ156" s="21"/>
      <c r="AR156" s="21"/>
      <c r="AS156" s="21"/>
      <c r="AT156" s="21"/>
      <c r="AU156" s="21"/>
      <c r="AV156" s="21"/>
      <c r="AW156" s="21"/>
    </row>
    <row r="157" spans="2:49" x14ac:dyDescent="0.15">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c r="AL157" s="21"/>
      <c r="AM157" s="21"/>
      <c r="AN157" s="21"/>
      <c r="AO157" s="21"/>
      <c r="AP157" s="21"/>
      <c r="AQ157" s="21"/>
      <c r="AR157" s="21"/>
      <c r="AS157" s="21"/>
      <c r="AT157" s="21"/>
      <c r="AU157" s="21"/>
      <c r="AV157" s="21"/>
      <c r="AW157" s="21"/>
    </row>
    <row r="158" spans="2:49" x14ac:dyDescent="0.15">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c r="AL158" s="21"/>
      <c r="AM158" s="21"/>
      <c r="AN158" s="21"/>
      <c r="AO158" s="21"/>
      <c r="AP158" s="21"/>
      <c r="AQ158" s="21"/>
      <c r="AR158" s="21"/>
      <c r="AS158" s="21"/>
      <c r="AT158" s="21"/>
      <c r="AU158" s="21"/>
      <c r="AV158" s="21"/>
      <c r="AW158" s="21"/>
    </row>
    <row r="159" spans="2:49" x14ac:dyDescent="0.15">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c r="AM159" s="21"/>
      <c r="AN159" s="21"/>
      <c r="AO159" s="21"/>
      <c r="AP159" s="21"/>
      <c r="AQ159" s="21"/>
      <c r="AR159" s="21"/>
      <c r="AS159" s="21"/>
      <c r="AT159" s="21"/>
      <c r="AU159" s="21"/>
      <c r="AV159" s="21"/>
      <c r="AW159" s="21"/>
    </row>
    <row r="160" spans="2:49" x14ac:dyDescent="0.15">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c r="AW160" s="21"/>
    </row>
    <row r="161" spans="2:49" x14ac:dyDescent="0.15">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c r="AN161" s="21"/>
      <c r="AO161" s="21"/>
      <c r="AP161" s="21"/>
      <c r="AQ161" s="21"/>
      <c r="AR161" s="21"/>
      <c r="AS161" s="21"/>
      <c r="AT161" s="21"/>
      <c r="AU161" s="21"/>
      <c r="AV161" s="21"/>
      <c r="AW161" s="21"/>
    </row>
    <row r="162" spans="2:49" x14ac:dyDescent="0.15">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row>
    <row r="163" spans="2:49" x14ac:dyDescent="0.15">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c r="AM163" s="21"/>
      <c r="AN163" s="21"/>
      <c r="AO163" s="21"/>
      <c r="AP163" s="21"/>
      <c r="AQ163" s="21"/>
      <c r="AR163" s="21"/>
      <c r="AS163" s="21"/>
      <c r="AT163" s="21"/>
      <c r="AU163" s="21"/>
      <c r="AV163" s="21"/>
      <c r="AW163" s="21"/>
    </row>
    <row r="164" spans="2:49" x14ac:dyDescent="0.15">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c r="AM164" s="21"/>
      <c r="AN164" s="21"/>
      <c r="AO164" s="21"/>
      <c r="AP164" s="21"/>
      <c r="AQ164" s="21"/>
      <c r="AR164" s="21"/>
      <c r="AS164" s="21"/>
      <c r="AT164" s="21"/>
      <c r="AU164" s="21"/>
      <c r="AV164" s="21"/>
      <c r="AW164" s="21"/>
    </row>
    <row r="165" spans="2:49" x14ac:dyDescent="0.15">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c r="AM165" s="21"/>
      <c r="AN165" s="21"/>
      <c r="AO165" s="21"/>
      <c r="AP165" s="21"/>
      <c r="AQ165" s="21"/>
      <c r="AR165" s="21"/>
      <c r="AS165" s="21"/>
      <c r="AT165" s="21"/>
      <c r="AU165" s="21"/>
      <c r="AV165" s="21"/>
      <c r="AW165" s="21"/>
    </row>
    <row r="166" spans="2:49" x14ac:dyDescent="0.15">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row>
    <row r="167" spans="2:49" x14ac:dyDescent="0.15">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row>
    <row r="168" spans="2:49" x14ac:dyDescent="0.15">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row>
    <row r="169" spans="2:49" x14ac:dyDescent="0.15">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row>
    <row r="170" spans="2:49" x14ac:dyDescent="0.15">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c r="AL170" s="21"/>
      <c r="AM170" s="21"/>
      <c r="AN170" s="21"/>
      <c r="AO170" s="21"/>
      <c r="AP170" s="21"/>
      <c r="AQ170" s="21"/>
      <c r="AR170" s="21"/>
      <c r="AS170" s="21"/>
      <c r="AT170" s="21"/>
      <c r="AU170" s="21"/>
      <c r="AV170" s="21"/>
      <c r="AW170" s="21"/>
    </row>
    <row r="171" spans="2:49" x14ac:dyDescent="0.15">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c r="AW171" s="21"/>
    </row>
    <row r="172" spans="2:49" x14ac:dyDescent="0.15">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row>
    <row r="173" spans="2:49" x14ac:dyDescent="0.15">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row>
    <row r="174" spans="2:49" x14ac:dyDescent="0.15">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row>
    <row r="175" spans="2:49" x14ac:dyDescent="0.15">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1"/>
      <c r="AN175" s="21"/>
      <c r="AO175" s="21"/>
      <c r="AP175" s="21"/>
      <c r="AQ175" s="21"/>
      <c r="AR175" s="21"/>
      <c r="AS175" s="21"/>
      <c r="AT175" s="21"/>
      <c r="AU175" s="21"/>
      <c r="AV175" s="21"/>
      <c r="AW175" s="21"/>
    </row>
    <row r="176" spans="2:49" x14ac:dyDescent="0.15">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c r="AM176" s="21"/>
      <c r="AN176" s="21"/>
      <c r="AO176" s="21"/>
      <c r="AP176" s="21"/>
      <c r="AQ176" s="21"/>
      <c r="AR176" s="21"/>
      <c r="AS176" s="21"/>
      <c r="AT176" s="21"/>
      <c r="AU176" s="21"/>
      <c r="AV176" s="21"/>
      <c r="AW176" s="21"/>
    </row>
    <row r="177" spans="2:49" x14ac:dyDescent="0.15">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c r="AL177" s="21"/>
      <c r="AM177" s="21"/>
      <c r="AN177" s="21"/>
      <c r="AO177" s="21"/>
      <c r="AP177" s="21"/>
      <c r="AQ177" s="21"/>
      <c r="AR177" s="21"/>
      <c r="AS177" s="21"/>
      <c r="AT177" s="21"/>
      <c r="AU177" s="21"/>
      <c r="AV177" s="21"/>
      <c r="AW177" s="21"/>
    </row>
    <row r="178" spans="2:49" x14ac:dyDescent="0.15">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c r="AN178" s="21"/>
      <c r="AO178" s="21"/>
      <c r="AP178" s="21"/>
      <c r="AQ178" s="21"/>
      <c r="AR178" s="21"/>
      <c r="AS178" s="21"/>
      <c r="AT178" s="21"/>
      <c r="AU178" s="21"/>
      <c r="AV178" s="21"/>
      <c r="AW178" s="21"/>
    </row>
    <row r="179" spans="2:49" x14ac:dyDescent="0.15">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row>
    <row r="180" spans="2:49" x14ac:dyDescent="0.15">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row>
    <row r="181" spans="2:49" x14ac:dyDescent="0.15">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row>
    <row r="182" spans="2:49" x14ac:dyDescent="0.15">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c r="AM182" s="21"/>
      <c r="AN182" s="21"/>
      <c r="AO182" s="21"/>
      <c r="AP182" s="21"/>
      <c r="AQ182" s="21"/>
      <c r="AR182" s="21"/>
      <c r="AS182" s="21"/>
      <c r="AT182" s="21"/>
      <c r="AU182" s="21"/>
      <c r="AV182" s="21"/>
      <c r="AW182" s="21"/>
    </row>
    <row r="183" spans="2:49" x14ac:dyDescent="0.15">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c r="AM183" s="21"/>
      <c r="AN183" s="21"/>
      <c r="AO183" s="21"/>
      <c r="AP183" s="21"/>
      <c r="AQ183" s="21"/>
      <c r="AR183" s="21"/>
      <c r="AS183" s="21"/>
      <c r="AT183" s="21"/>
      <c r="AU183" s="21"/>
      <c r="AV183" s="21"/>
      <c r="AW183" s="21"/>
    </row>
    <row r="184" spans="2:49" x14ac:dyDescent="0.15">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c r="AN184" s="21"/>
      <c r="AO184" s="21"/>
      <c r="AP184" s="21"/>
      <c r="AQ184" s="21"/>
      <c r="AR184" s="21"/>
      <c r="AS184" s="21"/>
      <c r="AT184" s="21"/>
      <c r="AU184" s="21"/>
      <c r="AV184" s="21"/>
      <c r="AW184" s="21"/>
    </row>
    <row r="185" spans="2:49" x14ac:dyDescent="0.15">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c r="AL185" s="21"/>
      <c r="AM185" s="21"/>
      <c r="AN185" s="21"/>
      <c r="AO185" s="21"/>
      <c r="AP185" s="21"/>
      <c r="AQ185" s="21"/>
      <c r="AR185" s="21"/>
      <c r="AS185" s="21"/>
      <c r="AT185" s="21"/>
      <c r="AU185" s="21"/>
      <c r="AV185" s="21"/>
      <c r="AW185" s="21"/>
    </row>
    <row r="186" spans="2:49" x14ac:dyDescent="0.15">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c r="AL186" s="21"/>
      <c r="AM186" s="21"/>
      <c r="AN186" s="21"/>
      <c r="AO186" s="21"/>
      <c r="AP186" s="21"/>
      <c r="AQ186" s="21"/>
      <c r="AR186" s="21"/>
      <c r="AS186" s="21"/>
      <c r="AT186" s="21"/>
      <c r="AU186" s="21"/>
      <c r="AV186" s="21"/>
      <c r="AW186" s="21"/>
    </row>
    <row r="187" spans="2:49" x14ac:dyDescent="0.15">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1"/>
      <c r="AN187" s="21"/>
      <c r="AO187" s="21"/>
      <c r="AP187" s="21"/>
      <c r="AQ187" s="21"/>
      <c r="AR187" s="21"/>
      <c r="AS187" s="21"/>
      <c r="AT187" s="21"/>
      <c r="AU187" s="21"/>
      <c r="AV187" s="21"/>
      <c r="AW187" s="21"/>
    </row>
    <row r="188" spans="2:49" x14ac:dyDescent="0.15">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1"/>
      <c r="AN188" s="21"/>
      <c r="AO188" s="21"/>
      <c r="AP188" s="21"/>
      <c r="AQ188" s="21"/>
      <c r="AR188" s="21"/>
      <c r="AS188" s="21"/>
      <c r="AT188" s="21"/>
      <c r="AU188" s="21"/>
      <c r="AV188" s="21"/>
      <c r="AW188" s="21"/>
    </row>
    <row r="189" spans="2:49" x14ac:dyDescent="0.15">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c r="AN189" s="21"/>
      <c r="AO189" s="21"/>
      <c r="AP189" s="21"/>
      <c r="AQ189" s="21"/>
      <c r="AR189" s="21"/>
      <c r="AS189" s="21"/>
      <c r="AT189" s="21"/>
      <c r="AU189" s="21"/>
      <c r="AV189" s="21"/>
      <c r="AW189" s="21"/>
    </row>
    <row r="190" spans="2:49" x14ac:dyDescent="0.15">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c r="AM190" s="21"/>
      <c r="AN190" s="21"/>
      <c r="AO190" s="21"/>
      <c r="AP190" s="21"/>
      <c r="AQ190" s="21"/>
      <c r="AR190" s="21"/>
      <c r="AS190" s="21"/>
      <c r="AT190" s="21"/>
      <c r="AU190" s="21"/>
      <c r="AV190" s="21"/>
      <c r="AW190" s="21"/>
    </row>
    <row r="191" spans="2:49" x14ac:dyDescent="0.15">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c r="AM191" s="21"/>
      <c r="AN191" s="21"/>
      <c r="AO191" s="21"/>
      <c r="AP191" s="21"/>
      <c r="AQ191" s="21"/>
      <c r="AR191" s="21"/>
      <c r="AS191" s="21"/>
      <c r="AT191" s="21"/>
      <c r="AU191" s="21"/>
      <c r="AV191" s="21"/>
      <c r="AW191" s="21"/>
    </row>
    <row r="192" spans="2:49" x14ac:dyDescent="0.15">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c r="AM192" s="21"/>
      <c r="AN192" s="21"/>
      <c r="AO192" s="21"/>
      <c r="AP192" s="21"/>
      <c r="AQ192" s="21"/>
      <c r="AR192" s="21"/>
      <c r="AS192" s="21"/>
      <c r="AT192" s="21"/>
      <c r="AU192" s="21"/>
      <c r="AV192" s="21"/>
      <c r="AW192" s="21"/>
    </row>
    <row r="193" spans="2:49" x14ac:dyDescent="0.15">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row>
    <row r="194" spans="2:49" x14ac:dyDescent="0.15">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c r="AC194" s="21"/>
      <c r="AD194" s="21"/>
      <c r="AE194" s="21"/>
      <c r="AF194" s="21"/>
      <c r="AG194" s="21"/>
      <c r="AH194" s="21"/>
      <c r="AI194" s="21"/>
      <c r="AJ194" s="21"/>
      <c r="AK194" s="21"/>
      <c r="AL194" s="21"/>
      <c r="AM194" s="21"/>
      <c r="AN194" s="21"/>
      <c r="AO194" s="21"/>
      <c r="AP194" s="21"/>
      <c r="AQ194" s="21"/>
      <c r="AR194" s="21"/>
      <c r="AS194" s="21"/>
      <c r="AT194" s="21"/>
      <c r="AU194" s="21"/>
      <c r="AV194" s="21"/>
      <c r="AW194" s="21"/>
    </row>
    <row r="195" spans="2:49" x14ac:dyDescent="0.15">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c r="AK195" s="21"/>
      <c r="AL195" s="21"/>
      <c r="AM195" s="21"/>
      <c r="AN195" s="21"/>
      <c r="AO195" s="21"/>
      <c r="AP195" s="21"/>
      <c r="AQ195" s="21"/>
      <c r="AR195" s="21"/>
      <c r="AS195" s="21"/>
      <c r="AT195" s="21"/>
      <c r="AU195" s="21"/>
      <c r="AV195" s="21"/>
      <c r="AW195" s="21"/>
    </row>
    <row r="196" spans="2:49" x14ac:dyDescent="0.15">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c r="AK196" s="21"/>
      <c r="AL196" s="21"/>
      <c r="AM196" s="21"/>
      <c r="AN196" s="21"/>
      <c r="AO196" s="21"/>
      <c r="AP196" s="21"/>
      <c r="AQ196" s="21"/>
      <c r="AR196" s="21"/>
      <c r="AS196" s="21"/>
      <c r="AT196" s="21"/>
      <c r="AU196" s="21"/>
      <c r="AV196" s="21"/>
      <c r="AW196" s="21"/>
    </row>
    <row r="197" spans="2:49" x14ac:dyDescent="0.15">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c r="AM197" s="21"/>
      <c r="AN197" s="21"/>
      <c r="AO197" s="21"/>
      <c r="AP197" s="21"/>
      <c r="AQ197" s="21"/>
      <c r="AR197" s="21"/>
      <c r="AS197" s="21"/>
      <c r="AT197" s="21"/>
      <c r="AU197" s="21"/>
      <c r="AV197" s="21"/>
      <c r="AW197" s="21"/>
    </row>
    <row r="198" spans="2:49" x14ac:dyDescent="0.15">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c r="AL198" s="21"/>
      <c r="AM198" s="21"/>
      <c r="AN198" s="21"/>
      <c r="AO198" s="21"/>
      <c r="AP198" s="21"/>
      <c r="AQ198" s="21"/>
      <c r="AR198" s="21"/>
      <c r="AS198" s="21"/>
      <c r="AT198" s="21"/>
      <c r="AU198" s="21"/>
      <c r="AV198" s="21"/>
      <c r="AW198" s="21"/>
    </row>
    <row r="199" spans="2:49" x14ac:dyDescent="0.15">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c r="AL199" s="21"/>
      <c r="AM199" s="21"/>
      <c r="AN199" s="21"/>
      <c r="AO199" s="21"/>
      <c r="AP199" s="21"/>
      <c r="AQ199" s="21"/>
      <c r="AR199" s="21"/>
      <c r="AS199" s="21"/>
      <c r="AT199" s="21"/>
      <c r="AU199" s="21"/>
      <c r="AV199" s="21"/>
      <c r="AW199" s="21"/>
    </row>
    <row r="200" spans="2:49" x14ac:dyDescent="0.15">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c r="AN200" s="21"/>
      <c r="AO200" s="21"/>
      <c r="AP200" s="21"/>
      <c r="AQ200" s="21"/>
      <c r="AR200" s="21"/>
      <c r="AS200" s="21"/>
      <c r="AT200" s="21"/>
      <c r="AU200" s="21"/>
      <c r="AV200" s="21"/>
      <c r="AW200" s="21"/>
    </row>
    <row r="201" spans="2:49" x14ac:dyDescent="0.15">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c r="AL201" s="21"/>
      <c r="AM201" s="21"/>
      <c r="AN201" s="21"/>
      <c r="AO201" s="21"/>
      <c r="AP201" s="21"/>
      <c r="AQ201" s="21"/>
      <c r="AR201" s="21"/>
      <c r="AS201" s="21"/>
      <c r="AT201" s="21"/>
      <c r="AU201" s="21"/>
      <c r="AV201" s="21"/>
      <c r="AW201" s="21"/>
    </row>
    <row r="202" spans="2:49" x14ac:dyDescent="0.15">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c r="AL202" s="21"/>
      <c r="AM202" s="21"/>
      <c r="AN202" s="21"/>
      <c r="AO202" s="21"/>
      <c r="AP202" s="21"/>
      <c r="AQ202" s="21"/>
      <c r="AR202" s="21"/>
      <c r="AS202" s="21"/>
      <c r="AT202" s="21"/>
      <c r="AU202" s="21"/>
      <c r="AV202" s="21"/>
      <c r="AW202" s="21"/>
    </row>
    <row r="203" spans="2:49" x14ac:dyDescent="0.15">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c r="AL203" s="21"/>
      <c r="AM203" s="21"/>
      <c r="AN203" s="21"/>
      <c r="AO203" s="21"/>
      <c r="AP203" s="21"/>
      <c r="AQ203" s="21"/>
      <c r="AR203" s="21"/>
      <c r="AS203" s="21"/>
      <c r="AT203" s="21"/>
      <c r="AU203" s="21"/>
      <c r="AV203" s="21"/>
      <c r="AW203" s="21"/>
    </row>
    <row r="204" spans="2:49" x14ac:dyDescent="0.15">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c r="AL204" s="21"/>
      <c r="AM204" s="21"/>
      <c r="AN204" s="21"/>
      <c r="AO204" s="21"/>
      <c r="AP204" s="21"/>
      <c r="AQ204" s="21"/>
      <c r="AR204" s="21"/>
      <c r="AS204" s="21"/>
      <c r="AT204" s="21"/>
      <c r="AU204" s="21"/>
      <c r="AV204" s="21"/>
      <c r="AW204" s="21"/>
    </row>
    <row r="205" spans="2:49" x14ac:dyDescent="0.15">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c r="AL205" s="21"/>
      <c r="AM205" s="21"/>
      <c r="AN205" s="21"/>
      <c r="AO205" s="21"/>
      <c r="AP205" s="21"/>
      <c r="AQ205" s="21"/>
      <c r="AR205" s="21"/>
      <c r="AS205" s="21"/>
      <c r="AT205" s="21"/>
      <c r="AU205" s="21"/>
      <c r="AV205" s="21"/>
      <c r="AW205" s="21"/>
    </row>
    <row r="206" spans="2:49" x14ac:dyDescent="0.15">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c r="AK206" s="21"/>
      <c r="AL206" s="21"/>
      <c r="AM206" s="21"/>
      <c r="AN206" s="21"/>
      <c r="AO206" s="21"/>
      <c r="AP206" s="21"/>
      <c r="AQ206" s="21"/>
      <c r="AR206" s="21"/>
      <c r="AS206" s="21"/>
      <c r="AT206" s="21"/>
      <c r="AU206" s="21"/>
      <c r="AV206" s="21"/>
      <c r="AW206" s="21"/>
    </row>
    <row r="207" spans="2:49" x14ac:dyDescent="0.15">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c r="AK207" s="21"/>
      <c r="AL207" s="21"/>
      <c r="AM207" s="21"/>
      <c r="AN207" s="21"/>
      <c r="AO207" s="21"/>
      <c r="AP207" s="21"/>
      <c r="AQ207" s="21"/>
      <c r="AR207" s="21"/>
      <c r="AS207" s="21"/>
      <c r="AT207" s="21"/>
      <c r="AU207" s="21"/>
      <c r="AV207" s="21"/>
      <c r="AW207" s="21"/>
    </row>
    <row r="208" spans="2:49" x14ac:dyDescent="0.15">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c r="AK208" s="21"/>
      <c r="AL208" s="21"/>
      <c r="AM208" s="21"/>
      <c r="AN208" s="21"/>
      <c r="AO208" s="21"/>
      <c r="AP208" s="21"/>
      <c r="AQ208" s="21"/>
      <c r="AR208" s="21"/>
      <c r="AS208" s="21"/>
      <c r="AT208" s="21"/>
      <c r="AU208" s="21"/>
      <c r="AV208" s="21"/>
      <c r="AW208" s="21"/>
    </row>
    <row r="209" spans="2:49" x14ac:dyDescent="0.15">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c r="AL209" s="21"/>
      <c r="AM209" s="21"/>
      <c r="AN209" s="21"/>
      <c r="AO209" s="21"/>
      <c r="AP209" s="21"/>
      <c r="AQ209" s="21"/>
      <c r="AR209" s="21"/>
      <c r="AS209" s="21"/>
      <c r="AT209" s="21"/>
      <c r="AU209" s="21"/>
      <c r="AV209" s="21"/>
      <c r="AW209" s="21"/>
    </row>
    <row r="210" spans="2:49" x14ac:dyDescent="0.15">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c r="AM210" s="21"/>
      <c r="AN210" s="21"/>
      <c r="AO210" s="21"/>
      <c r="AP210" s="21"/>
      <c r="AQ210" s="21"/>
      <c r="AR210" s="21"/>
      <c r="AS210" s="21"/>
      <c r="AT210" s="21"/>
      <c r="AU210" s="21"/>
      <c r="AV210" s="21"/>
      <c r="AW210" s="21"/>
    </row>
    <row r="211" spans="2:49" x14ac:dyDescent="0.15">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c r="AK211" s="21"/>
      <c r="AL211" s="21"/>
      <c r="AM211" s="21"/>
      <c r="AN211" s="21"/>
      <c r="AO211" s="21"/>
      <c r="AP211" s="21"/>
      <c r="AQ211" s="21"/>
      <c r="AR211" s="21"/>
      <c r="AS211" s="21"/>
      <c r="AT211" s="21"/>
      <c r="AU211" s="21"/>
      <c r="AV211" s="21"/>
      <c r="AW211" s="21"/>
    </row>
    <row r="212" spans="2:49" x14ac:dyDescent="0.15">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c r="AC212" s="21"/>
      <c r="AD212" s="21"/>
      <c r="AE212" s="21"/>
      <c r="AF212" s="21"/>
      <c r="AG212" s="21"/>
      <c r="AH212" s="21"/>
      <c r="AI212" s="21"/>
      <c r="AJ212" s="21"/>
      <c r="AK212" s="21"/>
      <c r="AL212" s="21"/>
      <c r="AM212" s="21"/>
      <c r="AN212" s="21"/>
      <c r="AO212" s="21"/>
      <c r="AP212" s="21"/>
      <c r="AQ212" s="21"/>
      <c r="AR212" s="21"/>
      <c r="AS212" s="21"/>
      <c r="AT212" s="21"/>
      <c r="AU212" s="21"/>
      <c r="AV212" s="21"/>
      <c r="AW212" s="21"/>
    </row>
    <row r="213" spans="2:49" x14ac:dyDescent="0.15">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c r="AL213" s="21"/>
      <c r="AM213" s="21"/>
      <c r="AN213" s="21"/>
      <c r="AO213" s="21"/>
      <c r="AP213" s="21"/>
      <c r="AQ213" s="21"/>
      <c r="AR213" s="21"/>
      <c r="AS213" s="21"/>
      <c r="AT213" s="21"/>
      <c r="AU213" s="21"/>
      <c r="AV213" s="21"/>
      <c r="AW213" s="21"/>
    </row>
    <row r="214" spans="2:49" x14ac:dyDescent="0.15">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c r="AC214" s="21"/>
      <c r="AD214" s="21"/>
      <c r="AE214" s="21"/>
      <c r="AF214" s="21"/>
      <c r="AG214" s="21"/>
      <c r="AH214" s="21"/>
      <c r="AI214" s="21"/>
      <c r="AJ214" s="21"/>
      <c r="AK214" s="21"/>
      <c r="AL214" s="21"/>
      <c r="AM214" s="21"/>
      <c r="AN214" s="21"/>
      <c r="AO214" s="21"/>
      <c r="AP214" s="21"/>
      <c r="AQ214" s="21"/>
      <c r="AR214" s="21"/>
      <c r="AS214" s="21"/>
      <c r="AT214" s="21"/>
      <c r="AU214" s="21"/>
      <c r="AV214" s="21"/>
      <c r="AW214" s="21"/>
    </row>
    <row r="215" spans="2:49" x14ac:dyDescent="0.15">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c r="AC215" s="21"/>
      <c r="AD215" s="21"/>
      <c r="AE215" s="21"/>
      <c r="AF215" s="21"/>
      <c r="AG215" s="21"/>
      <c r="AH215" s="21"/>
      <c r="AI215" s="21"/>
      <c r="AJ215" s="21"/>
      <c r="AK215" s="21"/>
      <c r="AL215" s="21"/>
      <c r="AM215" s="21"/>
      <c r="AN215" s="21"/>
      <c r="AO215" s="21"/>
      <c r="AP215" s="21"/>
      <c r="AQ215" s="21"/>
      <c r="AR215" s="21"/>
      <c r="AS215" s="21"/>
      <c r="AT215" s="21"/>
      <c r="AU215" s="21"/>
      <c r="AV215" s="21"/>
      <c r="AW215" s="21"/>
    </row>
    <row r="216" spans="2:49" x14ac:dyDescent="0.15">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c r="AK216" s="21"/>
      <c r="AL216" s="21"/>
      <c r="AM216" s="21"/>
      <c r="AN216" s="21"/>
      <c r="AO216" s="21"/>
      <c r="AP216" s="21"/>
      <c r="AQ216" s="21"/>
      <c r="AR216" s="21"/>
      <c r="AS216" s="21"/>
      <c r="AT216" s="21"/>
      <c r="AU216" s="21"/>
      <c r="AV216" s="21"/>
      <c r="AW216" s="21"/>
    </row>
    <row r="217" spans="2:49" x14ac:dyDescent="0.15">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c r="AL217" s="21"/>
      <c r="AM217" s="21"/>
      <c r="AN217" s="21"/>
      <c r="AO217" s="21"/>
      <c r="AP217" s="21"/>
      <c r="AQ217" s="21"/>
      <c r="AR217" s="21"/>
      <c r="AS217" s="21"/>
      <c r="AT217" s="21"/>
      <c r="AU217" s="21"/>
      <c r="AV217" s="21"/>
      <c r="AW217" s="21"/>
    </row>
    <row r="218" spans="2:49" x14ac:dyDescent="0.15">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c r="AC218" s="21"/>
      <c r="AD218" s="21"/>
      <c r="AE218" s="21"/>
      <c r="AF218" s="21"/>
      <c r="AG218" s="21"/>
      <c r="AH218" s="21"/>
      <c r="AI218" s="21"/>
      <c r="AJ218" s="21"/>
      <c r="AK218" s="21"/>
      <c r="AL218" s="21"/>
      <c r="AM218" s="21"/>
      <c r="AN218" s="21"/>
      <c r="AO218" s="21"/>
      <c r="AP218" s="21"/>
      <c r="AQ218" s="21"/>
      <c r="AR218" s="21"/>
      <c r="AS218" s="21"/>
      <c r="AT218" s="21"/>
      <c r="AU218" s="21"/>
      <c r="AV218" s="21"/>
      <c r="AW218" s="21"/>
    </row>
    <row r="219" spans="2:49" x14ac:dyDescent="0.15">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c r="AC219" s="21"/>
      <c r="AD219" s="21"/>
      <c r="AE219" s="21"/>
      <c r="AF219" s="21"/>
      <c r="AG219" s="21"/>
      <c r="AH219" s="21"/>
      <c r="AI219" s="21"/>
      <c r="AJ219" s="21"/>
      <c r="AK219" s="21"/>
      <c r="AL219" s="21"/>
      <c r="AM219" s="21"/>
      <c r="AN219" s="21"/>
      <c r="AO219" s="21"/>
      <c r="AP219" s="21"/>
      <c r="AQ219" s="21"/>
      <c r="AR219" s="21"/>
      <c r="AS219" s="21"/>
      <c r="AT219" s="21"/>
      <c r="AU219" s="21"/>
      <c r="AV219" s="21"/>
      <c r="AW219" s="21"/>
    </row>
    <row r="220" spans="2:49" x14ac:dyDescent="0.15">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c r="AC220" s="21"/>
      <c r="AD220" s="21"/>
      <c r="AE220" s="21"/>
      <c r="AF220" s="21"/>
      <c r="AG220" s="21"/>
      <c r="AH220" s="21"/>
      <c r="AI220" s="21"/>
      <c r="AJ220" s="21"/>
      <c r="AK220" s="21"/>
      <c r="AL220" s="21"/>
      <c r="AM220" s="21"/>
      <c r="AN220" s="21"/>
      <c r="AO220" s="21"/>
      <c r="AP220" s="21"/>
      <c r="AQ220" s="21"/>
      <c r="AR220" s="21"/>
      <c r="AS220" s="21"/>
      <c r="AT220" s="21"/>
      <c r="AU220" s="21"/>
      <c r="AV220" s="21"/>
      <c r="AW220" s="21"/>
    </row>
    <row r="221" spans="2:49" x14ac:dyDescent="0.15">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c r="AC221" s="21"/>
      <c r="AD221" s="21"/>
      <c r="AE221" s="21"/>
      <c r="AF221" s="21"/>
      <c r="AG221" s="21"/>
      <c r="AH221" s="21"/>
      <c r="AI221" s="21"/>
      <c r="AJ221" s="21"/>
      <c r="AK221" s="21"/>
      <c r="AL221" s="21"/>
      <c r="AM221" s="21"/>
      <c r="AN221" s="21"/>
      <c r="AO221" s="21"/>
      <c r="AP221" s="21"/>
      <c r="AQ221" s="21"/>
      <c r="AR221" s="21"/>
      <c r="AS221" s="21"/>
      <c r="AT221" s="21"/>
      <c r="AU221" s="21"/>
      <c r="AV221" s="21"/>
      <c r="AW221" s="21"/>
    </row>
    <row r="222" spans="2:49" x14ac:dyDescent="0.15">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c r="AC222" s="21"/>
      <c r="AD222" s="21"/>
      <c r="AE222" s="21"/>
      <c r="AF222" s="21"/>
      <c r="AG222" s="21"/>
      <c r="AH222" s="21"/>
      <c r="AI222" s="21"/>
      <c r="AJ222" s="21"/>
      <c r="AK222" s="21"/>
      <c r="AL222" s="21"/>
      <c r="AM222" s="21"/>
      <c r="AN222" s="21"/>
      <c r="AO222" s="21"/>
      <c r="AP222" s="21"/>
      <c r="AQ222" s="21"/>
      <c r="AR222" s="21"/>
      <c r="AS222" s="21"/>
      <c r="AT222" s="21"/>
      <c r="AU222" s="21"/>
      <c r="AV222" s="21"/>
      <c r="AW222" s="21"/>
    </row>
    <row r="223" spans="2:49" x14ac:dyDescent="0.15">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c r="AK223" s="21"/>
      <c r="AL223" s="21"/>
      <c r="AM223" s="21"/>
      <c r="AN223" s="21"/>
      <c r="AO223" s="21"/>
      <c r="AP223" s="21"/>
      <c r="AQ223" s="21"/>
      <c r="AR223" s="21"/>
      <c r="AS223" s="21"/>
      <c r="AT223" s="21"/>
      <c r="AU223" s="21"/>
      <c r="AV223" s="21"/>
      <c r="AW223" s="21"/>
    </row>
    <row r="224" spans="2:49" x14ac:dyDescent="0.15">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c r="AC224" s="21"/>
      <c r="AD224" s="21"/>
      <c r="AE224" s="21"/>
      <c r="AF224" s="21"/>
      <c r="AG224" s="21"/>
      <c r="AH224" s="21"/>
      <c r="AI224" s="21"/>
      <c r="AJ224" s="21"/>
      <c r="AK224" s="21"/>
      <c r="AL224" s="21"/>
      <c r="AM224" s="21"/>
      <c r="AN224" s="21"/>
      <c r="AO224" s="21"/>
      <c r="AP224" s="21"/>
      <c r="AQ224" s="21"/>
      <c r="AR224" s="21"/>
      <c r="AS224" s="21"/>
      <c r="AT224" s="21"/>
      <c r="AU224" s="21"/>
      <c r="AV224" s="21"/>
      <c r="AW224" s="21"/>
    </row>
    <row r="225" spans="2:49" x14ac:dyDescent="0.15">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c r="AC225" s="21"/>
      <c r="AD225" s="21"/>
      <c r="AE225" s="21"/>
      <c r="AF225" s="21"/>
      <c r="AG225" s="21"/>
      <c r="AH225" s="21"/>
      <c r="AI225" s="21"/>
      <c r="AJ225" s="21"/>
      <c r="AK225" s="21"/>
      <c r="AL225" s="21"/>
      <c r="AM225" s="21"/>
      <c r="AN225" s="21"/>
      <c r="AO225" s="21"/>
      <c r="AP225" s="21"/>
      <c r="AQ225" s="21"/>
      <c r="AR225" s="21"/>
      <c r="AS225" s="21"/>
      <c r="AT225" s="21"/>
      <c r="AU225" s="21"/>
      <c r="AV225" s="21"/>
      <c r="AW225" s="21"/>
    </row>
    <row r="226" spans="2:49" x14ac:dyDescent="0.15">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c r="AC226" s="21"/>
      <c r="AD226" s="21"/>
      <c r="AE226" s="21"/>
      <c r="AF226" s="21"/>
      <c r="AG226" s="21"/>
      <c r="AH226" s="21"/>
      <c r="AI226" s="21"/>
      <c r="AJ226" s="21"/>
      <c r="AK226" s="21"/>
      <c r="AL226" s="21"/>
      <c r="AM226" s="21"/>
      <c r="AN226" s="21"/>
      <c r="AO226" s="21"/>
      <c r="AP226" s="21"/>
      <c r="AQ226" s="21"/>
      <c r="AR226" s="21"/>
      <c r="AS226" s="21"/>
      <c r="AT226" s="21"/>
      <c r="AU226" s="21"/>
      <c r="AV226" s="21"/>
      <c r="AW226" s="21"/>
    </row>
    <row r="227" spans="2:49" x14ac:dyDescent="0.15">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c r="AE227" s="21"/>
      <c r="AF227" s="21"/>
      <c r="AG227" s="21"/>
      <c r="AH227" s="21"/>
      <c r="AI227" s="21"/>
      <c r="AJ227" s="21"/>
      <c r="AK227" s="21"/>
      <c r="AL227" s="21"/>
      <c r="AM227" s="21"/>
      <c r="AN227" s="21"/>
      <c r="AO227" s="21"/>
      <c r="AP227" s="21"/>
      <c r="AQ227" s="21"/>
      <c r="AR227" s="21"/>
      <c r="AS227" s="21"/>
      <c r="AT227" s="21"/>
      <c r="AU227" s="21"/>
      <c r="AV227" s="21"/>
      <c r="AW227" s="21"/>
    </row>
    <row r="228" spans="2:49" x14ac:dyDescent="0.15">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c r="AC228" s="21"/>
      <c r="AD228" s="21"/>
      <c r="AE228" s="21"/>
      <c r="AF228" s="21"/>
      <c r="AG228" s="21"/>
      <c r="AH228" s="21"/>
      <c r="AI228" s="21"/>
      <c r="AJ228" s="21"/>
      <c r="AK228" s="21"/>
      <c r="AL228" s="21"/>
      <c r="AM228" s="21"/>
      <c r="AN228" s="21"/>
      <c r="AO228" s="21"/>
      <c r="AP228" s="21"/>
      <c r="AQ228" s="21"/>
      <c r="AR228" s="21"/>
      <c r="AS228" s="21"/>
      <c r="AT228" s="21"/>
      <c r="AU228" s="21"/>
      <c r="AV228" s="21"/>
      <c r="AW228" s="21"/>
    </row>
    <row r="229" spans="2:49" x14ac:dyDescent="0.15">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c r="AC229" s="21"/>
      <c r="AD229" s="21"/>
      <c r="AE229" s="21"/>
      <c r="AF229" s="21"/>
      <c r="AG229" s="21"/>
      <c r="AH229" s="21"/>
      <c r="AI229" s="21"/>
      <c r="AJ229" s="21"/>
      <c r="AK229" s="21"/>
      <c r="AL229" s="21"/>
      <c r="AM229" s="21"/>
      <c r="AN229" s="21"/>
      <c r="AO229" s="21"/>
      <c r="AP229" s="21"/>
      <c r="AQ229" s="21"/>
      <c r="AR229" s="21"/>
      <c r="AS229" s="21"/>
      <c r="AT229" s="21"/>
      <c r="AU229" s="21"/>
      <c r="AV229" s="21"/>
      <c r="AW229" s="21"/>
    </row>
    <row r="230" spans="2:49" x14ac:dyDescent="0.15">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c r="AC230" s="21"/>
      <c r="AD230" s="21"/>
      <c r="AE230" s="21"/>
      <c r="AF230" s="21"/>
      <c r="AG230" s="21"/>
      <c r="AH230" s="21"/>
      <c r="AI230" s="21"/>
      <c r="AJ230" s="21"/>
      <c r="AK230" s="21"/>
      <c r="AL230" s="21"/>
      <c r="AM230" s="21"/>
      <c r="AN230" s="21"/>
      <c r="AO230" s="21"/>
      <c r="AP230" s="21"/>
      <c r="AQ230" s="21"/>
      <c r="AR230" s="21"/>
      <c r="AS230" s="21"/>
      <c r="AT230" s="21"/>
      <c r="AU230" s="21"/>
      <c r="AV230" s="21"/>
      <c r="AW230" s="21"/>
    </row>
  </sheetData>
  <mergeCells count="14">
    <mergeCell ref="B2:B3"/>
    <mergeCell ref="C2:L2"/>
    <mergeCell ref="C3:D3"/>
    <mergeCell ref="E3:F3"/>
    <mergeCell ref="G3:H3"/>
    <mergeCell ref="I3:J3"/>
    <mergeCell ref="K3:L3"/>
    <mergeCell ref="B18:B19"/>
    <mergeCell ref="C18:L18"/>
    <mergeCell ref="C19:D19"/>
    <mergeCell ref="E19:F19"/>
    <mergeCell ref="G19:H19"/>
    <mergeCell ref="I19:J19"/>
    <mergeCell ref="K19:L19"/>
  </mergeCells>
  <phoneticPr fontId="2"/>
  <printOptions horizontalCentered="1"/>
  <pageMargins left="0.70866141732283472" right="0.70866141732283472" top="0.74803149606299213" bottom="0.74803149606299213" header="0.31496062992125984" footer="0.31496062992125984"/>
  <pageSetup paperSize="9" scale="9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Button 1">
              <controlPr defaultSize="0" print="0" autoFill="0" autoPict="0" macro="[0]!データ削除22">
                <anchor moveWithCells="1" sizeWithCells="1">
                  <from>
                    <xdr:col>31</xdr:col>
                    <xdr:colOff>438150</xdr:colOff>
                    <xdr:row>3</xdr:row>
                    <xdr:rowOff>0</xdr:rowOff>
                  </from>
                  <to>
                    <xdr:col>34</xdr:col>
                    <xdr:colOff>266700</xdr:colOff>
                    <xdr:row>5</xdr:row>
                    <xdr:rowOff>57150</xdr:rowOff>
                  </to>
                </anchor>
              </controlPr>
            </control>
          </mc:Choice>
        </mc:AlternateContent>
      </controls>
    </mc:Choice>
  </mc:AlternateContent>
  <tableParts count="4">
    <tablePart r:id="rId5"/>
    <tablePart r:id="rId6"/>
    <tablePart r:id="rId7"/>
    <tablePart r:id="rId8"/>
  </tablePart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tabColor rgb="FFFF0000"/>
    <pageSetUpPr fitToPage="1"/>
  </sheetPr>
  <dimension ref="B1:BA231"/>
  <sheetViews>
    <sheetView showGridLines="0" view="pageBreakPreview" topLeftCell="F4" zoomScaleNormal="100" zoomScaleSheetLayoutView="100" workbookViewId="0">
      <selection activeCell="O4" sqref="O1:AI1048576"/>
    </sheetView>
  </sheetViews>
  <sheetFormatPr defaultRowHeight="18.75" x14ac:dyDescent="0.15"/>
  <cols>
    <col min="1" max="1" width="4" style="1" customWidth="1"/>
    <col min="2" max="2" width="12.5" style="1" customWidth="1"/>
    <col min="3" max="12" width="8.75" style="1" customWidth="1"/>
    <col min="13" max="13" width="16.5" style="1" customWidth="1"/>
    <col min="14" max="14" width="2.5" style="1" customWidth="1"/>
    <col min="15" max="15" width="17.75" style="1" hidden="1" customWidth="1"/>
    <col min="16" max="31" width="11.125" style="1" hidden="1" customWidth="1"/>
    <col min="32" max="35" width="9" style="1" hidden="1" customWidth="1"/>
    <col min="36" max="36" width="9" style="1" customWidth="1"/>
    <col min="37" max="53" width="9" style="1" hidden="1" customWidth="1"/>
    <col min="54" max="54" width="9" style="1" customWidth="1"/>
    <col min="55" max="16384" width="9" style="1"/>
  </cols>
  <sheetData>
    <row r="1" spans="2:53" ht="19.5" customHeight="1" x14ac:dyDescent="0.15">
      <c r="B1" s="414" t="s">
        <v>165</v>
      </c>
      <c r="C1" s="414"/>
      <c r="D1" s="414"/>
      <c r="E1" s="414"/>
      <c r="F1" s="414"/>
      <c r="G1" s="414"/>
      <c r="H1" s="414"/>
      <c r="I1" s="414"/>
      <c r="J1" s="414"/>
      <c r="K1" s="414"/>
      <c r="L1" s="414"/>
    </row>
    <row r="2" spans="2:53" ht="19.5" customHeight="1" x14ac:dyDescent="0.15">
      <c r="B2" s="413" t="s">
        <v>311</v>
      </c>
      <c r="C2" s="412"/>
      <c r="D2" s="412"/>
      <c r="E2" s="412"/>
      <c r="F2" s="412"/>
      <c r="G2" s="412"/>
      <c r="H2" s="412"/>
      <c r="I2" s="412"/>
      <c r="J2" s="412"/>
      <c r="K2" s="412"/>
      <c r="L2" s="412"/>
    </row>
    <row r="3" spans="2:53" ht="18.75" customHeight="1" thickBot="1" x14ac:dyDescent="0.2">
      <c r="B3" s="961" t="s">
        <v>65</v>
      </c>
      <c r="C3" s="963" t="s">
        <v>64</v>
      </c>
      <c r="D3" s="964"/>
      <c r="E3" s="964"/>
      <c r="F3" s="964"/>
      <c r="G3" s="964"/>
      <c r="H3" s="964"/>
      <c r="I3" s="964"/>
      <c r="J3" s="964"/>
      <c r="K3" s="964"/>
      <c r="L3" s="965"/>
      <c r="O3" s="33" t="s">
        <v>63</v>
      </c>
    </row>
    <row r="4" spans="2:53" ht="18.75" customHeight="1" thickTop="1" thickBot="1" x14ac:dyDescent="0.2">
      <c r="B4" s="962"/>
      <c r="C4" s="966" t="s">
        <v>69</v>
      </c>
      <c r="D4" s="967"/>
      <c r="E4" s="966" t="s">
        <v>70</v>
      </c>
      <c r="F4" s="967"/>
      <c r="G4" s="966" t="s">
        <v>71</v>
      </c>
      <c r="H4" s="967"/>
      <c r="I4" s="966" t="s">
        <v>72</v>
      </c>
      <c r="J4" s="967"/>
      <c r="K4" s="966" t="s">
        <v>62</v>
      </c>
      <c r="L4" s="967"/>
      <c r="O4" s="425" t="s">
        <v>373</v>
      </c>
      <c r="P4" s="489" t="s">
        <v>182</v>
      </c>
      <c r="Q4" s="489" t="s">
        <v>183</v>
      </c>
      <c r="R4" s="489" t="s">
        <v>184</v>
      </c>
      <c r="S4" s="489" t="s">
        <v>185</v>
      </c>
      <c r="T4" s="489" t="s">
        <v>186</v>
      </c>
      <c r="U4" s="489" t="s">
        <v>187</v>
      </c>
      <c r="V4" s="489" t="s">
        <v>188</v>
      </c>
      <c r="W4" s="489" t="s">
        <v>189</v>
      </c>
      <c r="X4" s="489" t="s">
        <v>190</v>
      </c>
      <c r="Y4" s="489" t="s">
        <v>191</v>
      </c>
      <c r="Z4" s="489" t="s">
        <v>192</v>
      </c>
      <c r="AA4" s="489" t="s">
        <v>193</v>
      </c>
      <c r="AB4" s="489" t="s">
        <v>194</v>
      </c>
      <c r="AC4" s="489" t="s">
        <v>195</v>
      </c>
      <c r="AD4" s="489" t="s">
        <v>196</v>
      </c>
      <c r="AE4" s="55" t="s">
        <v>197</v>
      </c>
      <c r="AL4" s="473" t="s">
        <v>182</v>
      </c>
      <c r="AM4" s="474" t="s">
        <v>183</v>
      </c>
      <c r="AN4" s="474" t="s">
        <v>184</v>
      </c>
      <c r="AO4" s="474" t="s">
        <v>185</v>
      </c>
      <c r="AP4" s="474" t="s">
        <v>186</v>
      </c>
      <c r="AQ4" s="474" t="s">
        <v>187</v>
      </c>
      <c r="AR4" s="474" t="s">
        <v>188</v>
      </c>
      <c r="AS4" s="474" t="s">
        <v>366</v>
      </c>
      <c r="AT4" s="474" t="s">
        <v>190</v>
      </c>
      <c r="AU4" s="474" t="s">
        <v>191</v>
      </c>
      <c r="AV4" s="474" t="s">
        <v>192</v>
      </c>
      <c r="AW4" s="474" t="s">
        <v>193</v>
      </c>
      <c r="AX4" s="474" t="s">
        <v>194</v>
      </c>
      <c r="AY4" s="474" t="s">
        <v>195</v>
      </c>
      <c r="AZ4" s="474" t="s">
        <v>196</v>
      </c>
      <c r="BA4" s="473" t="s">
        <v>197</v>
      </c>
    </row>
    <row r="5" spans="2:53" s="21" customFormat="1" ht="18.75" customHeight="1" thickTop="1" x14ac:dyDescent="0.15">
      <c r="B5" s="225" t="s">
        <v>2</v>
      </c>
      <c r="C5" s="226">
        <f>IFERROR(INDEX(年齢階層×在院期間区分F02F09[#All],MATCH($AK5,年齢階層×在院期間区分F02F09[[#All],[行ラベル]],0),MATCH($AL$4,年齢階層×在院期間区分F02F09[#Headers],0)),0)+IFERROR(INDEX(年齢階層×在院期間区分F02F09[#All],MATCH($AK5,年齢階層×在院期間区分F02F09[[#All],[行ラベル]],0),MATCH($AM$4,年齢階層×在院期間区分F02F09[#Headers],0)),0)+IFERROR(INDEX(年齢階層×在院期間区分F02F09[#All],MATCH($AK5,年齢階層×在院期間区分F02F09[[#All],[行ラベル]],0),MATCH($AN$4,年齢階層×在院期間区分F02F09[#Headers],0)),0)+IFERROR(INDEX(年齢階層×在院期間区分F02F09[#All],MATCH($AK5,年齢階層×在院期間区分F02F09[[#All],[行ラベル]],0),MATCH($AO$4,年齢階層×在院期間区分F02F09[#Headers],0)),0)</f>
        <v>0</v>
      </c>
      <c r="D5" s="221">
        <f t="shared" ref="D5:D16" si="0">IFERROR(C5/$C$14,"-")</f>
        <v>0</v>
      </c>
      <c r="E5" s="226">
        <f>IFERROR(INDEX(年齢階層×在院期間区分F02F09[#All],MATCH($AK5,年齢階層×在院期間区分F02F09[[#All],[行ラベル]],0),MATCH($AP$4,年齢階層×在院期間区分F02F09[#Headers],0)),0)+IFERROR(INDEX(年齢階層×在院期間区分F02F09[#All],MATCH($AK5,年齢階層×在院期間区分F02F09[[#All],[行ラベル]],0),MATCH($AQ$4,年齢階層×在院期間区分F02F09[#Headers],0)),0)+IFERROR(INDEX(年齢階層×在院期間区分F02F09[#All],MATCH($AK5,年齢階層×在院期間区分F02F09[[#All],[行ラベル]],0),MATCH($AR$4,年齢階層×在院期間区分F02F09[#Headers],0)),0)+IFERROR(INDEX(年齢階層×在院期間区分F02F09[#All],MATCH($AK5,年齢階層×在院期間区分F02F09[[#All],[行ラベル]],0),MATCH($AS$4,年齢階層×在院期間区分F02F09[#Headers],0)),0)+IFERROR(INDEX(年齢階層×在院期間区分F02F09[#All],MATCH($AK5,年齢階層×在院期間区分F02F09[[#All],[行ラベル]],0),MATCH($AT$4,年齢階層×在院期間区分F02F09[#Headers],0)),0)</f>
        <v>0</v>
      </c>
      <c r="F5" s="221">
        <f t="shared" ref="F5:F16" si="1">IFERROR(E5/$E$14,"-")</f>
        <v>0</v>
      </c>
      <c r="G5" s="226">
        <f>IFERROR(INDEX(年齢階層×在院期間区分F02F09[#All],MATCH($AK5,年齢階層×在院期間区分F02F09[[#All],[行ラベル]],0),MATCH($AU$4,年齢階層×在院期間区分F02F09[#Headers],0)),0)+IFERROR(INDEX(年齢階層×在院期間区分F02F09[#All],MATCH($AK5,年齢階層×在院期間区分F02F09[[#All],[行ラベル]],0),MATCH($AV$4,年齢階層×在院期間区分F02F09[#Headers],0)),0)+IFERROR(INDEX(年齢階層×在院期間区分F02F09[#All],MATCH($AK5,年齢階層×在院期間区分F02F09[[#All],[行ラベル]],0),MATCH($AW$4,年齢階層×在院期間区分F02F09[#Headers],0)),0)+IFERROR(INDEX(年齢階層×在院期間区分F02F09[#All],MATCH($AK5,年齢階層×在院期間区分F02F09[[#All],[行ラベル]],0),MATCH($AX$4,年齢階層×在院期間区分F02F09[#Headers],0)),0)+IFERROR(INDEX(年齢階層×在院期間区分F02F09[#All],MATCH($AK5,年齢階層×在院期間区分F02F09[[#All],[行ラベル]],0),MATCH($AY$4,年齢階層×在院期間区分F02F09[#Headers],0)),0)</f>
        <v>0</v>
      </c>
      <c r="H5" s="221">
        <f t="shared" ref="H5:H16" si="2">IFERROR(G5/$G$14,"-")</f>
        <v>0</v>
      </c>
      <c r="I5" s="220">
        <f>IFERROR(INDEX(年齢階層×在院期間区分F02F09[#All],MATCH($AK5,年齢階層×在院期間区分F02F09[[#All],[行ラベル]],0),MATCH($AZ$4,年齢階層×在院期間区分F02F09[#Headers],0)),0)+IFERROR(INDEX(年齢階層×在院期間区分F02F09[#All],MATCH($AK5,年齢階層×在院期間区分F02F09[[#All],[行ラベル]],0),MATCH($BA$4,年齢階層×在院期間区分F02F09[#Headers],0)),0)</f>
        <v>0</v>
      </c>
      <c r="J5" s="221">
        <f t="shared" ref="J5:J16" si="3">IFERROR(I5/$I$14,"-")</f>
        <v>0</v>
      </c>
      <c r="K5" s="220">
        <f t="shared" ref="K5:K13" si="4">SUM(C5,E5,G5,I5)</f>
        <v>0</v>
      </c>
      <c r="L5" s="221">
        <f t="shared" ref="L5:L16" si="5">IFERROR(K5/$K$14,"-")</f>
        <v>0</v>
      </c>
      <c r="O5" s="53" t="s">
        <v>2</v>
      </c>
      <c r="P5" s="65">
        <v>0</v>
      </c>
      <c r="Q5" s="65">
        <v>0</v>
      </c>
      <c r="R5" s="65">
        <v>0</v>
      </c>
      <c r="S5" s="65">
        <v>0</v>
      </c>
      <c r="T5" s="65">
        <v>0</v>
      </c>
      <c r="U5" s="65">
        <v>0</v>
      </c>
      <c r="V5" s="65">
        <v>0</v>
      </c>
      <c r="W5" s="65">
        <v>0</v>
      </c>
      <c r="X5" s="65">
        <v>0</v>
      </c>
      <c r="Y5" s="65">
        <v>0</v>
      </c>
      <c r="Z5" s="65">
        <v>0</v>
      </c>
      <c r="AA5" s="65">
        <v>0</v>
      </c>
      <c r="AB5" s="65">
        <v>0</v>
      </c>
      <c r="AC5" s="65">
        <v>0</v>
      </c>
      <c r="AD5" s="65">
        <v>0</v>
      </c>
      <c r="AE5" s="65">
        <v>0</v>
      </c>
      <c r="AK5" s="53" t="s">
        <v>2</v>
      </c>
      <c r="AL5" s="66"/>
      <c r="AO5" s="80"/>
    </row>
    <row r="6" spans="2:53" s="21" customFormat="1" ht="18.75" customHeight="1" x14ac:dyDescent="0.15">
      <c r="B6" s="227" t="s">
        <v>3</v>
      </c>
      <c r="C6" s="228">
        <f>IFERROR(INDEX(年齢階層×在院期間区分F02F09[#All],MATCH($AK6,年齢階層×在院期間区分F02F09[[#All],[行ラベル]],0),MATCH($AL$4,年齢階層×在院期間区分F02F09[#Headers],0)),0)+IFERROR(INDEX(年齢階層×在院期間区分F02F09[#All],MATCH($AK6,年齢階層×在院期間区分F02F09[[#All],[行ラベル]],0),MATCH($AM$4,年齢階層×在院期間区分F02F09[#Headers],0)),0)+IFERROR(INDEX(年齢階層×在院期間区分F02F09[#All],MATCH($AK6,年齢階層×在院期間区分F02F09[[#All],[行ラベル]],0),MATCH($AN$4,年齢階層×在院期間区分F02F09[#Headers],0)),0)+IFERROR(INDEX(年齢階層×在院期間区分F02F09[#All],MATCH($AK6,年齢階層×在院期間区分F02F09[[#All],[行ラベル]],0),MATCH($AO$4,年齢階層×在院期間区分F02F09[#Headers],0)),0)</f>
        <v>3</v>
      </c>
      <c r="D6" s="222">
        <f t="shared" si="0"/>
        <v>3.4924330616996507E-3</v>
      </c>
      <c r="E6" s="205">
        <f>IFERROR(INDEX(年齢階層×在院期間区分F02F09[#All],MATCH($AK6,年齢階層×在院期間区分F02F09[[#All],[行ラベル]],0),MATCH($AP$4,年齢階層×在院期間区分F02F09[#Headers],0)),0)+IFERROR(INDEX(年齢階層×在院期間区分F02F09[#All],MATCH($AK6,年齢階層×在院期間区分F02F09[[#All],[行ラベル]],0),MATCH($AQ$4,年齢階層×在院期間区分F02F09[#Headers],0)),0)+IFERROR(INDEX(年齢階層×在院期間区分F02F09[#All],MATCH($AK6,年齢階層×在院期間区分F02F09[[#All],[行ラベル]],0),MATCH($AR$4,年齢階層×在院期間区分F02F09[#Headers],0)),0)+IFERROR(INDEX(年齢階層×在院期間区分F02F09[#All],MATCH($AK6,年齢階層×在院期間区分F02F09[[#All],[行ラベル]],0),MATCH($AS$4,年齢階層×在院期間区分F02F09[#Headers],0)),0)+IFERROR(INDEX(年齢階層×在院期間区分F02F09[#All],MATCH($AK6,年齢階層×在院期間区分F02F09[[#All],[行ラベル]],0),MATCH($AT$4,年齢階層×在院期間区分F02F09[#Headers],0)),0)</f>
        <v>1</v>
      </c>
      <c r="F6" s="206">
        <f t="shared" si="1"/>
        <v>1.6000000000000001E-3</v>
      </c>
      <c r="G6" s="228">
        <f>IFERROR(INDEX(年齢階層×在院期間区分F02F09[#All],MATCH($AK6,年齢階層×在院期間区分F02F09[[#All],[行ラベル]],0),MATCH($AU$4,年齢階層×在院期間区分F02F09[#Headers],0)),0)+IFERROR(INDEX(年齢階層×在院期間区分F02F09[#All],MATCH($AK6,年齢階層×在院期間区分F02F09[[#All],[行ラベル]],0),MATCH($AV$4,年齢階層×在院期間区分F02F09[#Headers],0)),0)+IFERROR(INDEX(年齢階層×在院期間区分F02F09[#All],MATCH($AK6,年齢階層×在院期間区分F02F09[[#All],[行ラベル]],0),MATCH($AW$4,年齢階層×在院期間区分F02F09[#Headers],0)),0)+IFERROR(INDEX(年齢階層×在院期間区分F02F09[#All],MATCH($AK6,年齢階層×在院期間区分F02F09[[#All],[行ラベル]],0),MATCH($AX$4,年齢階層×在院期間区分F02F09[#Headers],0)),0)+IFERROR(INDEX(年齢階層×在院期間区分F02F09[#All],MATCH($AK6,年齢階層×在院期間区分F02F09[[#All],[行ラベル]],0),MATCH($AY$4,年齢階層×在院期間区分F02F09[#Headers],0)),0)</f>
        <v>0</v>
      </c>
      <c r="H6" s="222">
        <f t="shared" si="2"/>
        <v>0</v>
      </c>
      <c r="I6" s="229">
        <f>IFERROR(INDEX(年齢階層×在院期間区分F02F09[#All],MATCH($AK6,年齢階層×在院期間区分F02F09[[#All],[行ラベル]],0),MATCH($AZ$4,年齢階層×在院期間区分F02F09[#Headers],0)),0)+IFERROR(INDEX(年齢階層×在院期間区分F02F09[#All],MATCH($AK6,年齢階層×在院期間区分F02F09[[#All],[行ラベル]],0),MATCH($BA$4,年齢階層×在院期間区分F02F09[#Headers],0)),0)</f>
        <v>0</v>
      </c>
      <c r="J6" s="222">
        <f t="shared" si="3"/>
        <v>0</v>
      </c>
      <c r="K6" s="205">
        <f t="shared" si="4"/>
        <v>4</v>
      </c>
      <c r="L6" s="222">
        <f t="shared" si="5"/>
        <v>2.2522522522522522E-3</v>
      </c>
      <c r="O6" s="53" t="s">
        <v>3</v>
      </c>
      <c r="P6" s="65">
        <v>1</v>
      </c>
      <c r="Q6" s="65">
        <v>2</v>
      </c>
      <c r="R6" s="65">
        <v>0</v>
      </c>
      <c r="S6" s="65">
        <v>0</v>
      </c>
      <c r="T6" s="65">
        <v>1</v>
      </c>
      <c r="U6" s="65">
        <v>0</v>
      </c>
      <c r="V6" s="65">
        <v>0</v>
      </c>
      <c r="W6" s="65">
        <v>0</v>
      </c>
      <c r="X6" s="65">
        <v>0</v>
      </c>
      <c r="Y6" s="65">
        <v>0</v>
      </c>
      <c r="Z6" s="65">
        <v>0</v>
      </c>
      <c r="AA6" s="65">
        <v>0</v>
      </c>
      <c r="AB6" s="65">
        <v>0</v>
      </c>
      <c r="AC6" s="65">
        <v>0</v>
      </c>
      <c r="AD6" s="65">
        <v>0</v>
      </c>
      <c r="AE6" s="65">
        <v>0</v>
      </c>
      <c r="AK6" s="53" t="s">
        <v>3</v>
      </c>
      <c r="AL6" s="66"/>
      <c r="AM6" s="66"/>
      <c r="AO6" s="80"/>
    </row>
    <row r="7" spans="2:53" s="21" customFormat="1" ht="18.75" customHeight="1" x14ac:dyDescent="0.15">
      <c r="B7" s="227" t="s">
        <v>4</v>
      </c>
      <c r="C7" s="228">
        <f>IFERROR(INDEX(年齢階層×在院期間区分F02F09[#All],MATCH($AK7,年齢階層×在院期間区分F02F09[[#All],[行ラベル]],0),MATCH($AL$4,年齢階層×在院期間区分F02F09[#Headers],0)),0)+IFERROR(INDEX(年齢階層×在院期間区分F02F09[#All],MATCH($AK7,年齢階層×在院期間区分F02F09[[#All],[行ラベル]],0),MATCH($AM$4,年齢階層×在院期間区分F02F09[#Headers],0)),0)+IFERROR(INDEX(年齢階層×在院期間区分F02F09[#All],MATCH($AK7,年齢階層×在院期間区分F02F09[[#All],[行ラベル]],0),MATCH($AN$4,年齢階層×在院期間区分F02F09[#Headers],0)),0)+IFERROR(INDEX(年齢階層×在院期間区分F02F09[#All],MATCH($AK7,年齢階層×在院期間区分F02F09[[#All],[行ラベル]],0),MATCH($AO$4,年齢階層×在院期間区分F02F09[#Headers],0)),0)</f>
        <v>7</v>
      </c>
      <c r="D7" s="222">
        <f t="shared" si="0"/>
        <v>8.1490104772991845E-3</v>
      </c>
      <c r="E7" s="229">
        <f>IFERROR(INDEX(年齢階層×在院期間区分F02F09[#All],MATCH($AK7,年齢階層×在院期間区分F02F09[[#All],[行ラベル]],0),MATCH($AP$4,年齢階層×在院期間区分F02F09[#Headers],0)),0)+IFERROR(INDEX(年齢階層×在院期間区分F02F09[#All],MATCH($AK7,年齢階層×在院期間区分F02F09[[#All],[行ラベル]],0),MATCH($AQ$4,年齢階層×在院期間区分F02F09[#Headers],0)),0)+IFERROR(INDEX(年齢階層×在院期間区分F02F09[#All],MATCH($AK7,年齢階層×在院期間区分F02F09[[#All],[行ラベル]],0),MATCH($AR$4,年齢階層×在院期間区分F02F09[#Headers],0)),0)+IFERROR(INDEX(年齢階層×在院期間区分F02F09[#All],MATCH($AK7,年齢階層×在院期間区分F02F09[[#All],[行ラベル]],0),MATCH($AS$4,年齢階層×在院期間区分F02F09[#Headers],0)),0)+IFERROR(INDEX(年齢階層×在院期間区分F02F09[#All],MATCH($AK7,年齢階層×在院期間区分F02F09[[#All],[行ラベル]],0),MATCH($AT$4,年齢階層×在院期間区分F02F09[#Headers],0)),0)</f>
        <v>1</v>
      </c>
      <c r="F7" s="206">
        <f t="shared" si="1"/>
        <v>1.6000000000000001E-3</v>
      </c>
      <c r="G7" s="228">
        <f>IFERROR(INDEX(年齢階層×在院期間区分F02F09[#All],MATCH($AK7,年齢階層×在院期間区分F02F09[[#All],[行ラベル]],0),MATCH($AU$4,年齢階層×在院期間区分F02F09[#Headers],0)),0)+IFERROR(INDEX(年齢階層×在院期間区分F02F09[#All],MATCH($AK7,年齢階層×在院期間区分F02F09[[#All],[行ラベル]],0),MATCH($AV$4,年齢階層×在院期間区分F02F09[#Headers],0)),0)+IFERROR(INDEX(年齢階層×在院期間区分F02F09[#All],MATCH($AK7,年齢階層×在院期間区分F02F09[[#All],[行ラベル]],0),MATCH($AW$4,年齢階層×在院期間区分F02F09[#Headers],0)),0)+IFERROR(INDEX(年齢階層×在院期間区分F02F09[#All],MATCH($AK7,年齢階層×在院期間区分F02F09[[#All],[行ラベル]],0),MATCH($AX$4,年齢階層×在院期間区分F02F09[#Headers],0)),0)+IFERROR(INDEX(年齢階層×在院期間区分F02F09[#All],MATCH($AK7,年齢階層×在院期間区分F02F09[[#All],[行ラベル]],0),MATCH($AY$4,年齢階層×在院期間区分F02F09[#Headers],0)),0)</f>
        <v>2</v>
      </c>
      <c r="H7" s="206">
        <f t="shared" si="2"/>
        <v>1.092896174863388E-2</v>
      </c>
      <c r="I7" s="205">
        <f>IFERROR(INDEX(年齢階層×在院期間区分F02F09[#All],MATCH($AK7,年齢階層×在院期間区分F02F09[[#All],[行ラベル]],0),MATCH($AZ$4,年齢階層×在院期間区分F02F09[#Headers],0)),0)+IFERROR(INDEX(年齢階層×在院期間区分F02F09[#All],MATCH($AK7,年齢階層×在院期間区分F02F09[[#All],[行ラベル]],0),MATCH($BA$4,年齢階層×在院期間区分F02F09[#Headers],0)),0)</f>
        <v>0</v>
      </c>
      <c r="J7" s="222">
        <f t="shared" si="3"/>
        <v>0</v>
      </c>
      <c r="K7" s="205">
        <f t="shared" si="4"/>
        <v>10</v>
      </c>
      <c r="L7" s="222">
        <f t="shared" si="5"/>
        <v>5.6306306306306304E-3</v>
      </c>
      <c r="O7" s="53" t="s">
        <v>4</v>
      </c>
      <c r="P7" s="65">
        <v>2</v>
      </c>
      <c r="Q7" s="65">
        <v>3</v>
      </c>
      <c r="R7" s="65">
        <v>1</v>
      </c>
      <c r="S7" s="65">
        <v>1</v>
      </c>
      <c r="T7" s="65">
        <v>0</v>
      </c>
      <c r="U7" s="65">
        <v>0</v>
      </c>
      <c r="V7" s="65">
        <v>0</v>
      </c>
      <c r="W7" s="65">
        <v>1</v>
      </c>
      <c r="X7" s="65">
        <v>0</v>
      </c>
      <c r="Y7" s="65">
        <v>1</v>
      </c>
      <c r="Z7" s="65">
        <v>0</v>
      </c>
      <c r="AA7" s="65">
        <v>0</v>
      </c>
      <c r="AB7" s="65">
        <v>0</v>
      </c>
      <c r="AC7" s="65">
        <v>1</v>
      </c>
      <c r="AD7" s="65">
        <v>0</v>
      </c>
      <c r="AE7" s="65">
        <v>0</v>
      </c>
      <c r="AK7" s="53" t="s">
        <v>4</v>
      </c>
      <c r="AL7" s="66"/>
      <c r="AM7" s="66"/>
      <c r="AO7" s="80"/>
    </row>
    <row r="8" spans="2:53" s="21" customFormat="1" ht="18.75" customHeight="1" x14ac:dyDescent="0.15">
      <c r="B8" s="227" t="s">
        <v>5</v>
      </c>
      <c r="C8" s="205">
        <f>IFERROR(INDEX(年齢階層×在院期間区分F02F09[#All],MATCH($AK8,年齢階層×在院期間区分F02F09[[#All],[行ラベル]],0),MATCH($AL$4,年齢階層×在院期間区分F02F09[#Headers],0)),0)+IFERROR(INDEX(年齢階層×在院期間区分F02F09[#All],MATCH($AK8,年齢階層×在院期間区分F02F09[[#All],[行ラベル]],0),MATCH($AM$4,年齢階層×在院期間区分F02F09[#Headers],0)),0)+IFERROR(INDEX(年齢階層×在院期間区分F02F09[#All],MATCH($AK8,年齢階層×在院期間区分F02F09[[#All],[行ラベル]],0),MATCH($AN$4,年齢階層×在院期間区分F02F09[#Headers],0)),0)+IFERROR(INDEX(年齢階層×在院期間区分F02F09[#All],MATCH($AK8,年齢階層×在院期間区分F02F09[[#All],[行ラベル]],0),MATCH($AO$4,年齢階層×在院期間区分F02F09[#Headers],0)),0)</f>
        <v>15</v>
      </c>
      <c r="D8" s="222">
        <f t="shared" si="0"/>
        <v>1.7462165308498253E-2</v>
      </c>
      <c r="E8" s="205">
        <f>IFERROR(INDEX(年齢階層×在院期間区分F02F09[#All],MATCH($AK8,年齢階層×在院期間区分F02F09[[#All],[行ラベル]],0),MATCH($AP$4,年齢階層×在院期間区分F02F09[#Headers],0)),0)+IFERROR(INDEX(年齢階層×在院期間区分F02F09[#All],MATCH($AK8,年齢階層×在院期間区分F02F09[[#All],[行ラベル]],0),MATCH($AQ$4,年齢階層×在院期間区分F02F09[#Headers],0)),0)+IFERROR(INDEX(年齢階層×在院期間区分F02F09[#All],MATCH($AK8,年齢階層×在院期間区分F02F09[[#All],[行ラベル]],0),MATCH($AR$4,年齢階層×在院期間区分F02F09[#Headers],0)),0)+IFERROR(INDEX(年齢階層×在院期間区分F02F09[#All],MATCH($AK8,年齢階層×在院期間区分F02F09[[#All],[行ラベル]],0),MATCH($AS$4,年齢階層×在院期間区分F02F09[#Headers],0)),0)+IFERROR(INDEX(年齢階層×在院期間区分F02F09[#All],MATCH($AK8,年齢階層×在院期間区分F02F09[[#All],[行ラベル]],0),MATCH($AT$4,年齢階層×在院期間区分F02F09[#Headers],0)),0)</f>
        <v>13</v>
      </c>
      <c r="F8" s="206">
        <f t="shared" si="1"/>
        <v>2.0799999999999999E-2</v>
      </c>
      <c r="G8" s="228">
        <f>IFERROR(INDEX(年齢階層×在院期間区分F02F09[#All],MATCH($AK8,年齢階層×在院期間区分F02F09[[#All],[行ラベル]],0),MATCH($AU$4,年齢階層×在院期間区分F02F09[#Headers],0)),0)+IFERROR(INDEX(年齢階層×在院期間区分F02F09[#All],MATCH($AK8,年齢階層×在院期間区分F02F09[[#All],[行ラベル]],0),MATCH($AV$4,年齢階層×在院期間区分F02F09[#Headers],0)),0)+IFERROR(INDEX(年齢階層×在院期間区分F02F09[#All],MATCH($AK8,年齢階層×在院期間区分F02F09[[#All],[行ラベル]],0),MATCH($AW$4,年齢階層×在院期間区分F02F09[#Headers],0)),0)+IFERROR(INDEX(年齢階層×在院期間区分F02F09[#All],MATCH($AK8,年齢階層×在院期間区分F02F09[[#All],[行ラベル]],0),MATCH($AX$4,年齢階層×在院期間区分F02F09[#Headers],0)),0)+IFERROR(INDEX(年齢階層×在院期間区分F02F09[#All],MATCH($AK8,年齢階層×在院期間区分F02F09[[#All],[行ラベル]],0),MATCH($AY$4,年齢階層×在院期間区分F02F09[#Headers],0)),0)</f>
        <v>7</v>
      </c>
      <c r="H8" s="207">
        <f t="shared" si="2"/>
        <v>3.825136612021858E-2</v>
      </c>
      <c r="I8" s="229">
        <f>IFERROR(INDEX(年齢階層×在院期間区分F02F09[#All],MATCH($AK8,年齢階層×在院期間区分F02F09[[#All],[行ラベル]],0),MATCH($AZ$4,年齢階層×在院期間区分F02F09[#Headers],0)),0)+IFERROR(INDEX(年齢階層×在院期間区分F02F09[#All],MATCH($AK8,年齢階層×在院期間区分F02F09[[#All],[行ラベル]],0),MATCH($BA$4,年齢階層×在院期間区分F02F09[#Headers],0)),0)</f>
        <v>5</v>
      </c>
      <c r="J8" s="222">
        <f t="shared" si="3"/>
        <v>4.5871559633027525E-2</v>
      </c>
      <c r="K8" s="205">
        <f t="shared" si="4"/>
        <v>40</v>
      </c>
      <c r="L8" s="222">
        <f t="shared" si="5"/>
        <v>2.2522522522522521E-2</v>
      </c>
      <c r="O8" s="53" t="s">
        <v>5</v>
      </c>
      <c r="P8" s="65">
        <v>5</v>
      </c>
      <c r="Q8" s="65">
        <v>5</v>
      </c>
      <c r="R8" s="65">
        <v>2</v>
      </c>
      <c r="S8" s="65">
        <v>3</v>
      </c>
      <c r="T8" s="65">
        <v>1</v>
      </c>
      <c r="U8" s="65">
        <v>2</v>
      </c>
      <c r="V8" s="65">
        <v>4</v>
      </c>
      <c r="W8" s="65">
        <v>3</v>
      </c>
      <c r="X8" s="65">
        <v>3</v>
      </c>
      <c r="Y8" s="65">
        <v>1</v>
      </c>
      <c r="Z8" s="65">
        <v>2</v>
      </c>
      <c r="AA8" s="65">
        <v>2</v>
      </c>
      <c r="AB8" s="65">
        <v>1</v>
      </c>
      <c r="AC8" s="65">
        <v>1</v>
      </c>
      <c r="AD8" s="65">
        <v>5</v>
      </c>
      <c r="AE8" s="65">
        <v>0</v>
      </c>
      <c r="AK8" s="53" t="s">
        <v>5</v>
      </c>
      <c r="AL8" s="66"/>
      <c r="AM8" s="66"/>
      <c r="AO8" s="80"/>
    </row>
    <row r="9" spans="2:53" s="21" customFormat="1" ht="18.75" customHeight="1" x14ac:dyDescent="0.15">
      <c r="B9" s="227" t="s">
        <v>6</v>
      </c>
      <c r="C9" s="205">
        <f>IFERROR(INDEX(年齢階層×在院期間区分F02F09[#All],MATCH($AK9,年齢階層×在院期間区分F02F09[[#All],[行ラベル]],0),MATCH($AL$4,年齢階層×在院期間区分F02F09[#Headers],0)),0)+IFERROR(INDEX(年齢階層×在院期間区分F02F09[#All],MATCH($AK9,年齢階層×在院期間区分F02F09[[#All],[行ラベル]],0),MATCH($AM$4,年齢階層×在院期間区分F02F09[#Headers],0)),0)+IFERROR(INDEX(年齢階層×在院期間区分F02F09[#All],MATCH($AK9,年齢階層×在院期間区分F02F09[[#All],[行ラベル]],0),MATCH($AN$4,年齢階層×在院期間区分F02F09[#Headers],0)),0)+IFERROR(INDEX(年齢階層×在院期間区分F02F09[#All],MATCH($AK9,年齢階層×在院期間区分F02F09[[#All],[行ラベル]],0),MATCH($AO$4,年齢階層×在院期間区分F02F09[#Headers],0)),0)</f>
        <v>33</v>
      </c>
      <c r="D9" s="222">
        <f t="shared" si="0"/>
        <v>3.8416763678696161E-2</v>
      </c>
      <c r="E9" s="205">
        <f>IFERROR(INDEX(年齢階層×在院期間区分F02F09[#All],MATCH($AK9,年齢階層×在院期間区分F02F09[[#All],[行ラベル]],0),MATCH($AP$4,年齢階層×在院期間区分F02F09[#Headers],0)),0)+IFERROR(INDEX(年齢階層×在院期間区分F02F09[#All],MATCH($AK9,年齢階層×在院期間区分F02F09[[#All],[行ラベル]],0),MATCH($AQ$4,年齢階層×在院期間区分F02F09[#Headers],0)),0)+IFERROR(INDEX(年齢階層×在院期間区分F02F09[#All],MATCH($AK9,年齢階層×在院期間区分F02F09[[#All],[行ラベル]],0),MATCH($AR$4,年齢階層×在院期間区分F02F09[#Headers],0)),0)+IFERROR(INDEX(年齢階層×在院期間区分F02F09[#All],MATCH($AK9,年齢階層×在院期間区分F02F09[[#All],[行ラベル]],0),MATCH($AS$4,年齢階層×在院期間区分F02F09[#Headers],0)),0)+IFERROR(INDEX(年齢階層×在院期間区分F02F09[#All],MATCH($AK9,年齢階層×在院期間区分F02F09[[#All],[行ラベル]],0),MATCH($AT$4,年齢階層×在院期間区分F02F09[#Headers],0)),0)</f>
        <v>41</v>
      </c>
      <c r="F9" s="207">
        <f t="shared" si="1"/>
        <v>6.5600000000000006E-2</v>
      </c>
      <c r="G9" s="228">
        <f>IFERROR(INDEX(年齢階層×在院期間区分F02F09[#All],MATCH($AK9,年齢階層×在院期間区分F02F09[[#All],[行ラベル]],0),MATCH($AU$4,年齢階層×在院期間区分F02F09[#Headers],0)),0)+IFERROR(INDEX(年齢階層×在院期間区分F02F09[#All],MATCH($AK9,年齢階層×在院期間区分F02F09[[#All],[行ラベル]],0),MATCH($AV$4,年齢階層×在院期間区分F02F09[#Headers],0)),0)+IFERROR(INDEX(年齢階層×在院期間区分F02F09[#All],MATCH($AK9,年齢階層×在院期間区分F02F09[[#All],[行ラベル]],0),MATCH($AW$4,年齢階層×在院期間区分F02F09[#Headers],0)),0)+IFERROR(INDEX(年齢階層×在院期間区分F02F09[#All],MATCH($AK9,年齢階層×在院期間区分F02F09[[#All],[行ラベル]],0),MATCH($AX$4,年齢階層×在院期間区分F02F09[#Headers],0)),0)+IFERROR(INDEX(年齢階層×在院期間区分F02F09[#All],MATCH($AK9,年齢階層×在院期間区分F02F09[[#All],[行ラベル]],0),MATCH($AY$4,年齢階層×在院期間区分F02F09[#Headers],0)),0)</f>
        <v>12</v>
      </c>
      <c r="H9" s="206">
        <f t="shared" si="2"/>
        <v>6.5573770491803282E-2</v>
      </c>
      <c r="I9" s="228">
        <f>IFERROR(INDEX(年齢階層×在院期間区分F02F09[#All],MATCH($AK9,年齢階層×在院期間区分F02F09[[#All],[行ラベル]],0),MATCH($AZ$4,年齢階層×在院期間区分F02F09[#Headers],0)),0)+IFERROR(INDEX(年齢階層×在院期間区分F02F09[#All],MATCH($AK9,年齢階層×在院期間区分F02F09[[#All],[行ラベル]],0),MATCH($BA$4,年齢階層×在院期間区分F02F09[#Headers],0)),0)</f>
        <v>13</v>
      </c>
      <c r="J9" s="222">
        <f t="shared" si="3"/>
        <v>0.11926605504587157</v>
      </c>
      <c r="K9" s="205">
        <f t="shared" si="4"/>
        <v>99</v>
      </c>
      <c r="L9" s="206">
        <f t="shared" si="5"/>
        <v>5.5743243243243243E-2</v>
      </c>
      <c r="O9" s="53" t="s">
        <v>6</v>
      </c>
      <c r="P9" s="65">
        <v>10</v>
      </c>
      <c r="Q9" s="65">
        <v>15</v>
      </c>
      <c r="R9" s="65">
        <v>3</v>
      </c>
      <c r="S9" s="65">
        <v>5</v>
      </c>
      <c r="T9" s="65">
        <v>9</v>
      </c>
      <c r="U9" s="65">
        <v>10</v>
      </c>
      <c r="V9" s="65">
        <v>10</v>
      </c>
      <c r="W9" s="65">
        <v>10</v>
      </c>
      <c r="X9" s="65">
        <v>2</v>
      </c>
      <c r="Y9" s="65">
        <v>9</v>
      </c>
      <c r="Z9" s="65">
        <v>2</v>
      </c>
      <c r="AA9" s="65">
        <v>1</v>
      </c>
      <c r="AB9" s="65">
        <v>0</v>
      </c>
      <c r="AC9" s="65">
        <v>0</v>
      </c>
      <c r="AD9" s="65">
        <v>11</v>
      </c>
      <c r="AE9" s="65">
        <v>2</v>
      </c>
      <c r="AK9" s="53" t="s">
        <v>6</v>
      </c>
      <c r="AL9" s="66"/>
      <c r="AM9" s="66"/>
      <c r="AO9" s="80"/>
    </row>
    <row r="10" spans="2:53" s="21" customFormat="1" ht="18.75" customHeight="1" x14ac:dyDescent="0.15">
      <c r="B10" s="227" t="s">
        <v>7</v>
      </c>
      <c r="C10" s="205">
        <f>IFERROR(INDEX(年齢階層×在院期間区分F02F09[#All],MATCH($AK10,年齢階層×在院期間区分F02F09[[#All],[行ラベル]],0),MATCH($AL$4,年齢階層×在院期間区分F02F09[#Headers],0)),0)+IFERROR(INDEX(年齢階層×在院期間区分F02F09[#All],MATCH($AK10,年齢階層×在院期間区分F02F09[[#All],[行ラベル]],0),MATCH($AM$4,年齢階層×在院期間区分F02F09[#Headers],0)),0)+IFERROR(INDEX(年齢階層×在院期間区分F02F09[#All],MATCH($AK10,年齢階層×在院期間区分F02F09[[#All],[行ラベル]],0),MATCH($AN$4,年齢階層×在院期間区分F02F09[#Headers],0)),0)+IFERROR(INDEX(年齢階層×在院期間区分F02F09[#All],MATCH($AK10,年齢階層×在院期間区分F02F09[[#All],[行ラベル]],0),MATCH($AO$4,年齢階層×在院期間区分F02F09[#Headers],0)),0)</f>
        <v>90</v>
      </c>
      <c r="D10" s="206">
        <f t="shared" si="0"/>
        <v>0.10477299185098952</v>
      </c>
      <c r="E10" s="229">
        <f>IFERROR(INDEX(年齢階層×在院期間区分F02F09[#All],MATCH($AK10,年齢階層×在院期間区分F02F09[[#All],[行ラベル]],0),MATCH($AP$4,年齢階層×在院期間区分F02F09[#Headers],0)),0)+IFERROR(INDEX(年齢階層×在院期間区分F02F09[#All],MATCH($AK10,年齢階層×在院期間区分F02F09[[#All],[行ラベル]],0),MATCH($AQ$4,年齢階層×在院期間区分F02F09[#Headers],0)),0)+IFERROR(INDEX(年齢階層×在院期間区分F02F09[#All],MATCH($AK10,年齢階層×在院期間区分F02F09[[#All],[行ラベル]],0),MATCH($AR$4,年齢階層×在院期間区分F02F09[#Headers],0)),0)+IFERROR(INDEX(年齢階層×在院期間区分F02F09[#All],MATCH($AK10,年齢階層×在院期間区分F02F09[[#All],[行ラベル]],0),MATCH($AS$4,年齢階層×在院期間区分F02F09[#Headers],0)),0)+IFERROR(INDEX(年齢階層×在院期間区分F02F09[#All],MATCH($AK10,年齢階層×在院期間区分F02F09[[#All],[行ラベル]],0),MATCH($AT$4,年齢階層×在院期間区分F02F09[#Headers],0)),0)</f>
        <v>64</v>
      </c>
      <c r="F10" s="222">
        <f t="shared" si="1"/>
        <v>0.1024</v>
      </c>
      <c r="G10" s="228">
        <f>IFERROR(INDEX(年齢階層×在院期間区分F02F09[#All],MATCH($AK10,年齢階層×在院期間区分F02F09[[#All],[行ラベル]],0),MATCH($AU$4,年齢階層×在院期間区分F02F09[#Headers],0)),0)+IFERROR(INDEX(年齢階層×在院期間区分F02F09[#All],MATCH($AK10,年齢階層×在院期間区分F02F09[[#All],[行ラベル]],0),MATCH($AV$4,年齢階層×在院期間区分F02F09[#Headers],0)),0)+IFERROR(INDEX(年齢階層×在院期間区分F02F09[#All],MATCH($AK10,年齢階層×在院期間区分F02F09[[#All],[行ラベル]],0),MATCH($AW$4,年齢階層×在院期間区分F02F09[#Headers],0)),0)+IFERROR(INDEX(年齢階層×在院期間区分F02F09[#All],MATCH($AK10,年齢階層×在院期間区分F02F09[[#All],[行ラベル]],0),MATCH($AX$4,年齢階層×在院期間区分F02F09[#Headers],0)),0)+IFERROR(INDEX(年齢階層×在院期間区分F02F09[#All],MATCH($AK10,年齢階層×在院期間区分F02F09[[#All],[行ラベル]],0),MATCH($AY$4,年齢階層×在院期間区分F02F09[#Headers],0)),0)</f>
        <v>22</v>
      </c>
      <c r="H10" s="207">
        <f t="shared" si="2"/>
        <v>0.12021857923497267</v>
      </c>
      <c r="I10" s="205">
        <f>IFERROR(INDEX(年齢階層×在院期間区分F02F09[#All],MATCH($AK10,年齢階層×在院期間区分F02F09[[#All],[行ラベル]],0),MATCH($AZ$4,年齢階層×在院期間区分F02F09[#Headers],0)),0)+IFERROR(INDEX(年齢階層×在院期間区分F02F09[#All],MATCH($AK10,年齢階層×在院期間区分F02F09[[#All],[行ラベル]],0),MATCH($BA$4,年齢階層×在院期間区分F02F09[#Headers],0)),0)</f>
        <v>20</v>
      </c>
      <c r="J10" s="206">
        <f t="shared" si="3"/>
        <v>0.1834862385321101</v>
      </c>
      <c r="K10" s="205">
        <f t="shared" si="4"/>
        <v>196</v>
      </c>
      <c r="L10" s="206">
        <f t="shared" si="5"/>
        <v>0.11036036036036036</v>
      </c>
      <c r="O10" s="53" t="s">
        <v>7</v>
      </c>
      <c r="P10" s="65">
        <v>22</v>
      </c>
      <c r="Q10" s="65">
        <v>24</v>
      </c>
      <c r="R10" s="65">
        <v>18</v>
      </c>
      <c r="S10" s="65">
        <v>26</v>
      </c>
      <c r="T10" s="65">
        <v>13</v>
      </c>
      <c r="U10" s="65">
        <v>13</v>
      </c>
      <c r="V10" s="65">
        <v>15</v>
      </c>
      <c r="W10" s="65">
        <v>10</v>
      </c>
      <c r="X10" s="65">
        <v>13</v>
      </c>
      <c r="Y10" s="65">
        <v>10</v>
      </c>
      <c r="Z10" s="65">
        <v>1</v>
      </c>
      <c r="AA10" s="65">
        <v>4</v>
      </c>
      <c r="AB10" s="65">
        <v>4</v>
      </c>
      <c r="AC10" s="65">
        <v>3</v>
      </c>
      <c r="AD10" s="65">
        <v>13</v>
      </c>
      <c r="AE10" s="65">
        <v>7</v>
      </c>
      <c r="AK10" s="53" t="s">
        <v>7</v>
      </c>
      <c r="AL10" s="66"/>
      <c r="AM10" s="66"/>
      <c r="AO10" s="80"/>
    </row>
    <row r="11" spans="2:53" s="21" customFormat="1" ht="18.75" customHeight="1" x14ac:dyDescent="0.15">
      <c r="B11" s="227" t="s">
        <v>8</v>
      </c>
      <c r="C11" s="229">
        <f>IFERROR(INDEX(年齢階層×在院期間区分F02F09[#All],MATCH($AK11,年齢階層×在院期間区分F02F09[[#All],[行ラベル]],0),MATCH($AL$4,年齢階層×在院期間区分F02F09[#Headers],0)),0)+IFERROR(INDEX(年齢階層×在院期間区分F02F09[#All],MATCH($AK11,年齢階層×在院期間区分F02F09[[#All],[行ラベル]],0),MATCH($AM$4,年齢階層×在院期間区分F02F09[#Headers],0)),0)+IFERROR(INDEX(年齢階層×在院期間区分F02F09[#All],MATCH($AK11,年齢階層×在院期間区分F02F09[[#All],[行ラベル]],0),MATCH($AN$4,年齢階層×在院期間区分F02F09[#Headers],0)),0)+IFERROR(INDEX(年齢階層×在院期間区分F02F09[#All],MATCH($AK11,年齢階層×在院期間区分F02F09[[#All],[行ラベル]],0),MATCH($AO$4,年齢階層×在院期間区分F02F09[#Headers],0)),0)</f>
        <v>253</v>
      </c>
      <c r="D11" s="207">
        <f t="shared" si="0"/>
        <v>0.29452852153667053</v>
      </c>
      <c r="E11" s="228">
        <f>IFERROR(INDEX(年齢階層×在院期間区分F02F09[#All],MATCH($AK11,年齢階層×在院期間区分F02F09[[#All],[行ラベル]],0),MATCH($AP$4,年齢階層×在院期間区分F02F09[#Headers],0)),0)+IFERROR(INDEX(年齢階層×在院期間区分F02F09[#All],MATCH($AK11,年齢階層×在院期間区分F02F09[[#All],[行ラベル]],0),MATCH($AQ$4,年齢階層×在院期間区分F02F09[#Headers],0)),0)+IFERROR(INDEX(年齢階層×在院期間区分F02F09[#All],MATCH($AK11,年齢階層×在院期間区分F02F09[[#All],[行ラベル]],0),MATCH($AR$4,年齢階層×在院期間区分F02F09[#Headers],0)),0)+IFERROR(INDEX(年齢階層×在院期間区分F02F09[#All],MATCH($AK11,年齢階層×在院期間区分F02F09[[#All],[行ラベル]],0),MATCH($AS$4,年齢階層×在院期間区分F02F09[#Headers],0)),0)+IFERROR(INDEX(年齢階層×在院期間区分F02F09[#All],MATCH($AK11,年齢階層×在院期間区分F02F09[[#All],[行ラベル]],0),MATCH($AT$4,年齢階層×在院期間区分F02F09[#Headers],0)),0)</f>
        <v>189</v>
      </c>
      <c r="F11" s="206">
        <f t="shared" si="1"/>
        <v>0.3024</v>
      </c>
      <c r="G11" s="228">
        <f>IFERROR(INDEX(年齢階層×在院期間区分F02F09[#All],MATCH($AK11,年齢階層×在院期間区分F02F09[[#All],[行ラベル]],0),MATCH($AU$4,年齢階層×在院期間区分F02F09[#Headers],0)),0)+IFERROR(INDEX(年齢階層×在院期間区分F02F09[#All],MATCH($AK11,年齢階層×在院期間区分F02F09[[#All],[行ラベル]],0),MATCH($AV$4,年齢階層×在院期間区分F02F09[#Headers],0)),0)+IFERROR(INDEX(年齢階層×在院期間区分F02F09[#All],MATCH($AK11,年齢階層×在院期間区分F02F09[[#All],[行ラベル]],0),MATCH($AW$4,年齢階層×在院期間区分F02F09[#Headers],0)),0)+IFERROR(INDEX(年齢階層×在院期間区分F02F09[#All],MATCH($AK11,年齢階層×在院期間区分F02F09[[#All],[行ラベル]],0),MATCH($AX$4,年齢階層×在院期間区分F02F09[#Headers],0)),0)+IFERROR(INDEX(年齢階層×在院期間区分F02F09[#All],MATCH($AK11,年齢階層×在院期間区分F02F09[[#All],[行ラベル]],0),MATCH($AY$4,年齢階層×在院期間区分F02F09[#Headers],0)),0)</f>
        <v>46</v>
      </c>
      <c r="H11" s="206">
        <f t="shared" si="2"/>
        <v>0.25136612021857924</v>
      </c>
      <c r="I11" s="205">
        <f>IFERROR(INDEX(年齢階層×在院期間区分F02F09[#All],MATCH($AK11,年齢階層×在院期間区分F02F09[[#All],[行ラベル]],0),MATCH($AZ$4,年齢階層×在院期間区分F02F09[#Headers],0)),0)+IFERROR(INDEX(年齢階層×在院期間区分F02F09[#All],MATCH($AK11,年齢階層×在院期間区分F02F09[[#All],[行ラベル]],0),MATCH($BA$4,年齢階層×在院期間区分F02F09[#Headers],0)),0)</f>
        <v>39</v>
      </c>
      <c r="J11" s="206">
        <f t="shared" si="3"/>
        <v>0.3577981651376147</v>
      </c>
      <c r="K11" s="205">
        <f t="shared" si="4"/>
        <v>527</v>
      </c>
      <c r="L11" s="206">
        <f t="shared" si="5"/>
        <v>0.29673423423423423</v>
      </c>
      <c r="O11" s="53" t="s">
        <v>8</v>
      </c>
      <c r="P11" s="65">
        <v>50</v>
      </c>
      <c r="Q11" s="65">
        <v>68</v>
      </c>
      <c r="R11" s="65">
        <v>64</v>
      </c>
      <c r="S11" s="65">
        <v>71</v>
      </c>
      <c r="T11" s="65">
        <v>51</v>
      </c>
      <c r="U11" s="65">
        <v>48</v>
      </c>
      <c r="V11" s="65">
        <v>47</v>
      </c>
      <c r="W11" s="65">
        <v>26</v>
      </c>
      <c r="X11" s="65">
        <v>17</v>
      </c>
      <c r="Y11" s="65">
        <v>20</v>
      </c>
      <c r="Z11" s="65">
        <v>9</v>
      </c>
      <c r="AA11" s="65">
        <v>8</v>
      </c>
      <c r="AB11" s="65">
        <v>7</v>
      </c>
      <c r="AC11" s="65">
        <v>2</v>
      </c>
      <c r="AD11" s="65">
        <v>29</v>
      </c>
      <c r="AE11" s="65">
        <v>10</v>
      </c>
      <c r="AK11" s="53" t="s">
        <v>8</v>
      </c>
      <c r="AL11" s="66"/>
      <c r="AM11" s="66"/>
      <c r="AO11" s="80"/>
    </row>
    <row r="12" spans="2:53" s="21" customFormat="1" ht="18.75" customHeight="1" x14ac:dyDescent="0.15">
      <c r="B12" s="227" t="s">
        <v>9</v>
      </c>
      <c r="C12" s="205">
        <f>IFERROR(INDEX(年齢階層×在院期間区分F02F09[#All],MATCH($AK12,年齢階層×在院期間区分F02F09[[#All],[行ラベル]],0),MATCH($AL$4,年齢階層×在院期間区分F02F09[#Headers],0)),0)+IFERROR(INDEX(年齢階層×在院期間区分F02F09[#All],MATCH($AK12,年齢階層×在院期間区分F02F09[[#All],[行ラベル]],0),MATCH($AM$4,年齢階層×在院期間区分F02F09[#Headers],0)),0)+IFERROR(INDEX(年齢階層×在院期間区分F02F09[#All],MATCH($AK12,年齢階層×在院期間区分F02F09[[#All],[行ラベル]],0),MATCH($AN$4,年齢階層×在院期間区分F02F09[#Headers],0)),0)+IFERROR(INDEX(年齢階層×在院期間区分F02F09[#All],MATCH($AK12,年齢階層×在院期間区分F02F09[[#All],[行ラベル]],0),MATCH($AO$4,年齢階層×在院期間区分F02F09[#Headers],0)),0)</f>
        <v>372</v>
      </c>
      <c r="D12" s="206">
        <f t="shared" si="0"/>
        <v>0.43306169965075669</v>
      </c>
      <c r="E12" s="228">
        <f>IFERROR(INDEX(年齢階層×在院期間区分F02F09[#All],MATCH($AK12,年齢階層×在院期間区分F02F09[[#All],[行ラベル]],0),MATCH($AP$4,年齢階層×在院期間区分F02F09[#Headers],0)),0)+IFERROR(INDEX(年齢階層×在院期間区分F02F09[#All],MATCH($AK12,年齢階層×在院期間区分F02F09[[#All],[行ラベル]],0),MATCH($AQ$4,年齢階層×在院期間区分F02F09[#Headers],0)),0)+IFERROR(INDEX(年齢階層×在院期間区分F02F09[#All],MATCH($AK12,年齢階層×在院期間区分F02F09[[#All],[行ラベル]],0),MATCH($AR$4,年齢階層×在院期間区分F02F09[#Headers],0)),0)+IFERROR(INDEX(年齢階層×在院期間区分F02F09[#All],MATCH($AK12,年齢階層×在院期間区分F02F09[[#All],[行ラベル]],0),MATCH($AS$4,年齢階層×在院期間区分F02F09[#Headers],0)),0)+IFERROR(INDEX(年齢階層×在院期間区分F02F09[#All],MATCH($AK12,年齢階層×在院期間区分F02F09[[#All],[行ラベル]],0),MATCH($AT$4,年齢階層×在院期間区分F02F09[#Headers],0)),0)</f>
        <v>244</v>
      </c>
      <c r="F12" s="207">
        <f t="shared" si="1"/>
        <v>0.39040000000000002</v>
      </c>
      <c r="G12" s="228">
        <f>IFERROR(INDEX(年齢階層×在院期間区分F02F09[#All],MATCH($AK12,年齢階層×在院期間区分F02F09[[#All],[行ラベル]],0),MATCH($AU$4,年齢階層×在院期間区分F02F09[#Headers],0)),0)+IFERROR(INDEX(年齢階層×在院期間区分F02F09[#All],MATCH($AK12,年齢階層×在院期間区分F02F09[[#All],[行ラベル]],0),MATCH($AV$4,年齢階層×在院期間区分F02F09[#Headers],0)),0)+IFERROR(INDEX(年齢階層×在院期間区分F02F09[#All],MATCH($AK12,年齢階層×在院期間区分F02F09[[#All],[行ラベル]],0),MATCH($AW$4,年齢階層×在院期間区分F02F09[#Headers],0)),0)+IFERROR(INDEX(年齢階層×在院期間区分F02F09[#All],MATCH($AK12,年齢階層×在院期間区分F02F09[[#All],[行ラベル]],0),MATCH($AX$4,年齢階層×在院期間区分F02F09[#Headers],0)),0)+IFERROR(INDEX(年齢階層×在院期間区分F02F09[#All],MATCH($AK12,年齢階層×在院期間区分F02F09[[#All],[行ラベル]],0),MATCH($AY$4,年齢階層×在院期間区分F02F09[#Headers],0)),0)</f>
        <v>70</v>
      </c>
      <c r="H12" s="207">
        <f t="shared" si="2"/>
        <v>0.38251366120218577</v>
      </c>
      <c r="I12" s="229">
        <f>IFERROR(INDEX(年齢階層×在院期間区分F02F09[#All],MATCH($AK12,年齢階層×在院期間区分F02F09[[#All],[行ラベル]],0),MATCH($AZ$4,年齢階層×在院期間区分F02F09[#Headers],0)),0)+IFERROR(INDEX(年齢階層×在院期間区分F02F09[#All],MATCH($AK12,年齢階層×在院期間区分F02F09[[#All],[行ラベル]],0),MATCH($BA$4,年齢階層×在院期間区分F02F09[#Headers],0)),0)</f>
        <v>23</v>
      </c>
      <c r="J12" s="206">
        <f t="shared" si="3"/>
        <v>0.21100917431192662</v>
      </c>
      <c r="K12" s="205">
        <f t="shared" si="4"/>
        <v>709</v>
      </c>
      <c r="L12" s="206">
        <f t="shared" si="5"/>
        <v>0.39921171171171171</v>
      </c>
      <c r="O12" s="53" t="s">
        <v>9</v>
      </c>
      <c r="P12" s="65">
        <v>75</v>
      </c>
      <c r="Q12" s="65">
        <v>112</v>
      </c>
      <c r="R12" s="65">
        <v>75</v>
      </c>
      <c r="S12" s="65">
        <v>110</v>
      </c>
      <c r="T12" s="65">
        <v>54</v>
      </c>
      <c r="U12" s="65">
        <v>46</v>
      </c>
      <c r="V12" s="65">
        <v>74</v>
      </c>
      <c r="W12" s="65">
        <v>40</v>
      </c>
      <c r="X12" s="65">
        <v>30</v>
      </c>
      <c r="Y12" s="65">
        <v>28</v>
      </c>
      <c r="Z12" s="65">
        <v>18</v>
      </c>
      <c r="AA12" s="65">
        <v>14</v>
      </c>
      <c r="AB12" s="65">
        <v>6</v>
      </c>
      <c r="AC12" s="65">
        <v>4</v>
      </c>
      <c r="AD12" s="65">
        <v>21</v>
      </c>
      <c r="AE12" s="65">
        <v>2</v>
      </c>
      <c r="AK12" s="53" t="s">
        <v>9</v>
      </c>
      <c r="AL12" s="66"/>
      <c r="AM12" s="66"/>
      <c r="AO12" s="80"/>
    </row>
    <row r="13" spans="2:53" s="21" customFormat="1" ht="18.75" customHeight="1" thickBot="1" x14ac:dyDescent="0.2">
      <c r="B13" s="230" t="s">
        <v>10</v>
      </c>
      <c r="C13" s="231">
        <f>IFERROR(INDEX(年齢階層×在院期間区分F02F09[#All],MATCH($AK13,年齢階層×在院期間区分F02F09[[#All],[行ラベル]],0),MATCH($AL$4,年齢階層×在院期間区分F02F09[#Headers],0)),0)+IFERROR(INDEX(年齢階層×在院期間区分F02F09[#All],MATCH($AK13,年齢階層×在院期間区分F02F09[[#All],[行ラベル]],0),MATCH($AM$4,年齢階層×在院期間区分F02F09[#Headers],0)),0)+IFERROR(INDEX(年齢階層×在院期間区分F02F09[#All],MATCH($AK13,年齢階層×在院期間区分F02F09[[#All],[行ラベル]],0),MATCH($AN$4,年齢階層×在院期間区分F02F09[#Headers],0)),0)+IFERROR(INDEX(年齢階層×在院期間区分F02F09[#All],MATCH($AK13,年齢階層×在院期間区分F02F09[[#All],[行ラベル]],0),MATCH($AO$4,年齢階層×在院期間区分F02F09[#Headers],0)),0)</f>
        <v>86</v>
      </c>
      <c r="D13" s="209">
        <f t="shared" si="0"/>
        <v>0.10011641443538999</v>
      </c>
      <c r="E13" s="208">
        <f>IFERROR(INDEX(年齢階層×在院期間区分F02F09[#All],MATCH($AK13,年齢階層×在院期間区分F02F09[[#All],[行ラベル]],0),MATCH($AP$4,年齢階層×在院期間区分F02F09[#Headers],0)),0)+IFERROR(INDEX(年齢階層×在院期間区分F02F09[#All],MATCH($AK13,年齢階層×在院期間区分F02F09[[#All],[行ラベル]],0),MATCH($AQ$4,年齢階層×在院期間区分F02F09[#Headers],0)),0)+IFERROR(INDEX(年齢階層×在院期間区分F02F09[#All],MATCH($AK13,年齢階層×在院期間区分F02F09[[#All],[行ラベル]],0),MATCH($AR$4,年齢階層×在院期間区分F02F09[#Headers],0)),0)+IFERROR(INDEX(年齢階層×在院期間区分F02F09[#All],MATCH($AK13,年齢階層×在院期間区分F02F09[[#All],[行ラベル]],0),MATCH($AS$4,年齢階層×在院期間区分F02F09[#Headers],0)),0)+IFERROR(INDEX(年齢階層×在院期間区分F02F09[#All],MATCH($AK13,年齢階層×在院期間区分F02F09[[#All],[行ラベル]],0),MATCH($AT$4,年齢階層×在院期間区分F02F09[#Headers],0)),0)</f>
        <v>72</v>
      </c>
      <c r="F13" s="210">
        <f t="shared" si="1"/>
        <v>0.1152</v>
      </c>
      <c r="G13" s="208">
        <f>IFERROR(INDEX(年齢階層×在院期間区分F02F09[#All],MATCH($AK13,年齢階層×在院期間区分F02F09[[#All],[行ラベル]],0),MATCH($AU$4,年齢階層×在院期間区分F02F09[#Headers],0)),0)+IFERROR(INDEX(年齢階層×在院期間区分F02F09[#All],MATCH($AK13,年齢階層×在院期間区分F02F09[[#All],[行ラベル]],0),MATCH($AV$4,年齢階層×在院期間区分F02F09[#Headers],0)),0)+IFERROR(INDEX(年齢階層×在院期間区分F02F09[#All],MATCH($AK13,年齢階層×在院期間区分F02F09[[#All],[行ラベル]],0),MATCH($AW$4,年齢階層×在院期間区分F02F09[#Headers],0)),0)+IFERROR(INDEX(年齢階層×在院期間区分F02F09[#All],MATCH($AK13,年齢階層×在院期間区分F02F09[[#All],[行ラベル]],0),MATCH($AX$4,年齢階層×在院期間区分F02F09[#Headers],0)),0)+IFERROR(INDEX(年齢階層×在院期間区分F02F09[#All],MATCH($AK13,年齢階層×在院期間区分F02F09[[#All],[行ラベル]],0),MATCH($AY$4,年齢階層×在院期間区分F02F09[#Headers],0)),0)</f>
        <v>24</v>
      </c>
      <c r="H13" s="210">
        <f t="shared" si="2"/>
        <v>0.13114754098360656</v>
      </c>
      <c r="I13" s="208">
        <f>IFERROR(INDEX(年齢階層×在院期間区分F02F09[#All],MATCH($AK13,年齢階層×在院期間区分F02F09[[#All],[行ラベル]],0),MATCH($AZ$4,年齢階層×在院期間区分F02F09[#Headers],0)),0)+IFERROR(INDEX(年齢階層×在院期間区分F02F09[#All],MATCH($AK13,年齢階層×在院期間区分F02F09[[#All],[行ラベル]],0),MATCH($BA$4,年齢階層×在院期間区分F02F09[#Headers],0)),0)</f>
        <v>9</v>
      </c>
      <c r="J13" s="209">
        <f t="shared" si="3"/>
        <v>8.2568807339449546E-2</v>
      </c>
      <c r="K13" s="208">
        <f t="shared" si="4"/>
        <v>191</v>
      </c>
      <c r="L13" s="209">
        <f t="shared" si="5"/>
        <v>0.10754504504504504</v>
      </c>
      <c r="O13" s="53" t="s">
        <v>10</v>
      </c>
      <c r="P13" s="65">
        <v>18</v>
      </c>
      <c r="Q13" s="65">
        <v>26</v>
      </c>
      <c r="R13" s="65">
        <v>18</v>
      </c>
      <c r="S13" s="65">
        <v>24</v>
      </c>
      <c r="T13" s="65">
        <v>17</v>
      </c>
      <c r="U13" s="65">
        <v>12</v>
      </c>
      <c r="V13" s="65">
        <v>16</v>
      </c>
      <c r="W13" s="65">
        <v>14</v>
      </c>
      <c r="X13" s="65">
        <v>13</v>
      </c>
      <c r="Y13" s="65">
        <v>8</v>
      </c>
      <c r="Z13" s="65">
        <v>6</v>
      </c>
      <c r="AA13" s="65">
        <v>3</v>
      </c>
      <c r="AB13" s="65">
        <v>6</v>
      </c>
      <c r="AC13" s="65">
        <v>1</v>
      </c>
      <c r="AD13" s="65">
        <v>6</v>
      </c>
      <c r="AE13" s="65">
        <v>3</v>
      </c>
      <c r="AK13" s="53" t="s">
        <v>10</v>
      </c>
      <c r="AL13" s="66"/>
      <c r="AM13" s="66"/>
      <c r="AO13" s="80"/>
    </row>
    <row r="14" spans="2:53" s="21" customFormat="1" ht="18.75" customHeight="1" thickTop="1" thickBot="1" x14ac:dyDescent="0.2">
      <c r="B14" s="232" t="s">
        <v>161</v>
      </c>
      <c r="C14" s="233">
        <f>SUM(C5:C13)</f>
        <v>859</v>
      </c>
      <c r="D14" s="241">
        <f t="shared" si="0"/>
        <v>1</v>
      </c>
      <c r="E14" s="233">
        <f>SUM(E5:E13)</f>
        <v>625</v>
      </c>
      <c r="F14" s="241">
        <f t="shared" si="1"/>
        <v>1</v>
      </c>
      <c r="G14" s="233">
        <f>SUM(G5:G13)</f>
        <v>183</v>
      </c>
      <c r="H14" s="241">
        <f t="shared" si="2"/>
        <v>1</v>
      </c>
      <c r="I14" s="233">
        <f>SUM(I5:I13)</f>
        <v>109</v>
      </c>
      <c r="J14" s="241">
        <f t="shared" si="3"/>
        <v>1</v>
      </c>
      <c r="K14" s="233">
        <f>SUM(K5:K13)</f>
        <v>1776</v>
      </c>
      <c r="L14" s="241">
        <f t="shared" si="5"/>
        <v>1</v>
      </c>
      <c r="O14" s="425" t="s">
        <v>308</v>
      </c>
      <c r="P14" s="489" t="s">
        <v>182</v>
      </c>
      <c r="Q14" s="489" t="s">
        <v>183</v>
      </c>
      <c r="R14" s="489" t="s">
        <v>184</v>
      </c>
      <c r="S14" s="489" t="s">
        <v>185</v>
      </c>
      <c r="T14" s="489" t="s">
        <v>186</v>
      </c>
      <c r="U14" s="489" t="s">
        <v>187</v>
      </c>
      <c r="V14" s="489" t="s">
        <v>188</v>
      </c>
      <c r="W14" s="489" t="s">
        <v>189</v>
      </c>
      <c r="X14" s="489" t="s">
        <v>190</v>
      </c>
      <c r="Y14" s="489" t="s">
        <v>191</v>
      </c>
      <c r="Z14" s="489" t="s">
        <v>192</v>
      </c>
      <c r="AA14" s="489" t="s">
        <v>193</v>
      </c>
      <c r="AB14" s="489" t="s">
        <v>194</v>
      </c>
      <c r="AC14" s="489" t="s">
        <v>195</v>
      </c>
      <c r="AD14" s="489" t="s">
        <v>196</v>
      </c>
      <c r="AE14" s="55" t="s">
        <v>197</v>
      </c>
      <c r="AK14" s="80"/>
      <c r="AL14" s="80"/>
      <c r="AO14" s="80"/>
    </row>
    <row r="15" spans="2:53" s="21" customFormat="1" ht="18.75" customHeight="1" thickTop="1" x14ac:dyDescent="0.15">
      <c r="B15" s="235" t="s">
        <v>93</v>
      </c>
      <c r="C15" s="236">
        <f>IFERROR(INDEX(年齢階層×在院期間区分F02F09_65歳未満以上[#All],MATCH($AK15,年齢階層×在院期間区分F02F09_65歳未満以上[[#All],[列1]],0),MATCH($AL$4,年齢階層×在院期間区分F02F09_65歳未満以上[#Headers],0)),0)+IFERROR(INDEX(年齢階層×在院期間区分F02F09_65歳未満以上[#All],MATCH($AK15,年齢階層×在院期間区分F02F09_65歳未満以上[[#All],[列1]],0),MATCH($AM$4,年齢階層×在院期間区分F02F09_65歳未満以上[#Headers],0)),0)+IFERROR(INDEX(年齢階層×在院期間区分F02F09_65歳未満以上[#All],MATCH($AK15,年齢階層×在院期間区分F02F09_65歳未満以上[[#All],[列1]],0),MATCH($AN$4,年齢階層×在院期間区分F02F09_65歳未満以上[#Headers],0)),0)+IFERROR(INDEX(年齢階層×在院期間区分F02F09_65歳未満以上[#All],MATCH($AK15,年齢階層×在院期間区分F02F09_65歳未満以上[[#All],[列1]],0),MATCH($AO$4,年齢階層×在院期間区分F02F09_65歳未満以上[#Headers],0)),0)</f>
        <v>96</v>
      </c>
      <c r="D15" s="239">
        <f t="shared" si="0"/>
        <v>0.11175785797438882</v>
      </c>
      <c r="E15" s="236">
        <f>IFERROR(INDEX(年齢階層×在院期間区分F02F09_65歳未満以上[#All],MATCH($AK15,年齢階層×在院期間区分F02F09_65歳未満以上[[#All],[列1]],0),MATCH($AP$4,年齢階層×在院期間区分F02F09_65歳未満以上[#Headers],0)),0)+IFERROR(INDEX(年齢階層×在院期間区分F02F09_65歳未満以上[#All],MATCH($AK15,年齢階層×在院期間区分F02F09_65歳未満以上[[#All],[列1]],0),MATCH($AQ$4,年齢階層×在院期間区分F02F09_65歳未満以上[#Headers],0)),0)+IFERROR(INDEX(年齢階層×在院期間区分F02F09_65歳未満以上[#All],MATCH($AK15,年齢階層×在院期間区分F02F09_65歳未満以上[[#All],[列1]],0),MATCH($AR$4,年齢階層×在院期間区分F02F09_65歳未満以上[#Headers],0)),0)+IFERROR(INDEX(年齢階層×在院期間区分F02F09_65歳未満以上[#All],MATCH($AK15,年齢階層×在院期間区分F02F09_65歳未満以上[[#All],[列1]],0),MATCH($AS$4,年齢階層×在院期間区分F02F09_65歳未満以上[#Headers],0)),0)+IFERROR(INDEX(年齢階層×在院期間区分F02F09_65歳未満以上[#All],MATCH($AK15,年齢階層×在院期間区分F02F09_65歳未満以上[[#All],[列1]],0),MATCH($AT$4,年齢階層×在院期間区分F02F09_65歳未満以上[#Headers],0)),0)</f>
        <v>84</v>
      </c>
      <c r="F15" s="239">
        <f t="shared" si="1"/>
        <v>0.13439999999999999</v>
      </c>
      <c r="G15" s="236">
        <f>IFERROR(INDEX(年齢階層×在院期間区分F02F09_65歳未満以上[#All],MATCH($AK15,年齢階層×在院期間区分F02F09_65歳未満以上[[#All],[列1]],0),MATCH($AU$4,年齢階層×在院期間区分F02F09_65歳未満以上[#Headers],0)),0)+IFERROR(INDEX(年齢階層×在院期間区分F02F09_65歳未満以上[#All],MATCH($AK15,年齢階層×在院期間区分F02F09_65歳未満以上[[#All],[列1]],0),MATCH($AV$4,年齢階層×在院期間区分F02F09_65歳未満以上[#Headers],0)),0)+IFERROR(INDEX(年齢階層×在院期間区分F02F09_65歳未満以上[#All],MATCH($AK15,年齢階層×在院期間区分F02F09_65歳未満以上[[#All],[列1]],0),MATCH($AW$4,年齢階層×在院期間区分F02F09_65歳未満以上[#Headers],0)),0)+IFERROR(INDEX(年齢階層×在院期間区分F02F09_65歳未満以上[#All],MATCH($AK15,年齢階層×在院期間区分F02F09_65歳未満以上[[#All],[列1]],0),MATCH($AX$4,年齢階層×在院期間区分F02F09_65歳未満以上[#Headers],0)),0)+IFERROR(INDEX(年齢階層×在院期間区分F02F09_65歳未満以上[#All],MATCH($AK15,年齢階層×在院期間区分F02F09_65歳未満以上[[#All],[列1]],0),MATCH($AY$4,年齢階層×在院期間区分F02F09_65歳未満以上[#Headers],0)),0)</f>
        <v>33</v>
      </c>
      <c r="H15" s="239">
        <f t="shared" si="2"/>
        <v>0.18032786885245902</v>
      </c>
      <c r="I15" s="236">
        <f>IFERROR(INDEX(年齢階層×在院期間区分F02F09_65歳未満以上[#All],MATCH($AK15,年齢階層×在院期間区分F02F09_65歳未満以上[[#All],[列1]],0),MATCH($AZ$4,年齢階層×在院期間区分F02F09_65歳未満以上[#Headers],0)),0)+IFERROR(INDEX(年齢階層×在院期間区分F02F09_65歳未満以上[#All],MATCH($AK15,年齢階層×在院期間区分F02F09_65歳未満以上[[#All],[列1]],0),MATCH($BA$4,年齢階層×在院期間区分F02F09_65歳未満以上[#Headers],0)),0)</f>
        <v>27</v>
      </c>
      <c r="J15" s="239">
        <f t="shared" si="3"/>
        <v>0.24770642201834864</v>
      </c>
      <c r="K15" s="236">
        <f>C15+E15+G15+I15</f>
        <v>240</v>
      </c>
      <c r="L15" s="239">
        <f t="shared" si="5"/>
        <v>0.13513513513513514</v>
      </c>
      <c r="O15" s="53" t="s">
        <v>306</v>
      </c>
      <c r="P15" s="65">
        <v>27</v>
      </c>
      <c r="Q15" s="65">
        <v>34</v>
      </c>
      <c r="R15" s="65">
        <v>15</v>
      </c>
      <c r="S15" s="65">
        <v>20</v>
      </c>
      <c r="T15" s="65">
        <v>15</v>
      </c>
      <c r="U15" s="65">
        <v>20</v>
      </c>
      <c r="V15" s="65">
        <v>20</v>
      </c>
      <c r="W15" s="65">
        <v>18</v>
      </c>
      <c r="X15" s="65">
        <v>11</v>
      </c>
      <c r="Y15" s="65">
        <v>15</v>
      </c>
      <c r="Z15" s="65">
        <v>5</v>
      </c>
      <c r="AA15" s="65">
        <v>7</v>
      </c>
      <c r="AB15" s="65">
        <v>3</v>
      </c>
      <c r="AC15" s="65">
        <v>3</v>
      </c>
      <c r="AD15" s="65">
        <v>23</v>
      </c>
      <c r="AE15" s="65">
        <v>4</v>
      </c>
      <c r="AK15" s="82" t="s">
        <v>156</v>
      </c>
    </row>
    <row r="16" spans="2:53" s="21" customFormat="1" ht="18.75" customHeight="1" x14ac:dyDescent="0.15">
      <c r="B16" s="237" t="s">
        <v>89</v>
      </c>
      <c r="C16" s="236">
        <f>IFERROR(INDEX(年齢階層×在院期間区分F02F09_65歳未満以上[#All],MATCH($AK16,年齢階層×在院期間区分F02F09_65歳未満以上[[#All],[列1]],0),MATCH($AL$4,年齢階層×在院期間区分F02F09_65歳未満以上[#Headers],0)),0)+IFERROR(INDEX(年齢階層×在院期間区分F02F09_65歳未満以上[#All],MATCH($AK16,年齢階層×在院期間区分F02F09_65歳未満以上[[#All],[列1]],0),MATCH($AM$4,年齢階層×在院期間区分F02F09_65歳未満以上[#Headers],0)),0)+IFERROR(INDEX(年齢階層×在院期間区分F02F09_65歳未満以上[#All],MATCH($AK16,年齢階層×在院期間区分F02F09_65歳未満以上[[#All],[列1]],0),MATCH($AN$4,年齢階層×在院期間区分F02F09_65歳未満以上[#Headers],0)),0)+IFERROR(INDEX(年齢階層×在院期間区分F02F09_65歳未満以上[#All],MATCH($AK16,年齢階層×在院期間区分F02F09_65歳未満以上[[#All],[列1]],0),MATCH($AO$4,年齢階層×在院期間区分F02F09_65歳未満以上[#Headers],0)),0)</f>
        <v>763</v>
      </c>
      <c r="D16" s="238">
        <f t="shared" si="0"/>
        <v>0.88824214202561114</v>
      </c>
      <c r="E16" s="236">
        <f>IFERROR(INDEX(年齢階層×在院期間区分F02F09_65歳未満以上[#All],MATCH($AK16,年齢階層×在院期間区分F02F09_65歳未満以上[[#All],[列1]],0),MATCH($AP$4,年齢階層×在院期間区分F02F09_65歳未満以上[#Headers],0)),0)+IFERROR(INDEX(年齢階層×在院期間区分F02F09_65歳未満以上[#All],MATCH($AK16,年齢階層×在院期間区分F02F09_65歳未満以上[[#All],[列1]],0),MATCH($AQ$4,年齢階層×在院期間区分F02F09_65歳未満以上[#Headers],0)),0)+IFERROR(INDEX(年齢階層×在院期間区分F02F09_65歳未満以上[#All],MATCH($AK16,年齢階層×在院期間区分F02F09_65歳未満以上[[#All],[列1]],0),MATCH($AR$4,年齢階層×在院期間区分F02F09_65歳未満以上[#Headers],0)),0)+IFERROR(INDEX(年齢階層×在院期間区分F02F09_65歳未満以上[#All],MATCH($AK16,年齢階層×在院期間区分F02F09_65歳未満以上[[#All],[列1]],0),MATCH($AS$4,年齢階層×在院期間区分F02F09_65歳未満以上[#Headers],0)),0)+IFERROR(INDEX(年齢階層×在院期間区分F02F09_65歳未満以上[#All],MATCH($AK16,年齢階層×在院期間区分F02F09_65歳未満以上[[#All],[列1]],0),MATCH($AT$4,年齢階層×在院期間区分F02F09_65歳未満以上[#Headers],0)),0)</f>
        <v>541</v>
      </c>
      <c r="F16" s="238">
        <f t="shared" si="1"/>
        <v>0.86560000000000004</v>
      </c>
      <c r="G16" s="236">
        <f>IFERROR(INDEX(年齢階層×在院期間区分F02F09_65歳未満以上[#All],MATCH($AK16,年齢階層×在院期間区分F02F09_65歳未満以上[[#All],[列1]],0),MATCH($AU$4,年齢階層×在院期間区分F02F09_65歳未満以上[#Headers],0)),0)+IFERROR(INDEX(年齢階層×在院期間区分F02F09_65歳未満以上[#All],MATCH($AK16,年齢階層×在院期間区分F02F09_65歳未満以上[[#All],[列1]],0),MATCH($AV$4,年齢階層×在院期間区分F02F09_65歳未満以上[#Headers],0)),0)+IFERROR(INDEX(年齢階層×在院期間区分F02F09_65歳未満以上[#All],MATCH($AK16,年齢階層×在院期間区分F02F09_65歳未満以上[[#All],[列1]],0),MATCH($AW$4,年齢階層×在院期間区分F02F09_65歳未満以上[#Headers],0)),0)+IFERROR(INDEX(年齢階層×在院期間区分F02F09_65歳未満以上[#All],MATCH($AK16,年齢階層×在院期間区分F02F09_65歳未満以上[[#All],[列1]],0),MATCH($AX$4,年齢階層×在院期間区分F02F09_65歳未満以上[#Headers],0)),0)+IFERROR(INDEX(年齢階層×在院期間区分F02F09_65歳未満以上[#All],MATCH($AK16,年齢階層×在院期間区分F02F09_65歳未満以上[[#All],[列1]],0),MATCH($AY$4,年齢階層×在院期間区分F02F09_65歳未満以上[#Headers],0)),0)</f>
        <v>150</v>
      </c>
      <c r="H16" s="238">
        <f t="shared" si="2"/>
        <v>0.81967213114754101</v>
      </c>
      <c r="I16" s="236">
        <f>IFERROR(INDEX(年齢階層×在院期間区分F02F09_65歳未満以上[#All],MATCH($AK16,年齢階層×在院期間区分F02F09_65歳未満以上[[#All],[列1]],0),MATCH($AZ$4,年齢階層×在院期間区分F02F09_65歳未満以上[#Headers],0)),0)+IFERROR(INDEX(年齢階層×在院期間区分F02F09_65歳未満以上[#All],MATCH($AK16,年齢階層×在院期間区分F02F09_65歳未満以上[[#All],[列1]],0),MATCH($BA$4,年齢階層×在院期間区分F02F09_65歳未満以上[#Headers],0)),0)</f>
        <v>82</v>
      </c>
      <c r="J16" s="238">
        <f t="shared" si="3"/>
        <v>0.75229357798165142</v>
      </c>
      <c r="K16" s="236">
        <f>C16+E16+G16+I16</f>
        <v>1536</v>
      </c>
      <c r="L16" s="238">
        <f t="shared" si="5"/>
        <v>0.86486486486486491</v>
      </c>
      <c r="O16" s="82" t="s">
        <v>307</v>
      </c>
      <c r="P16" s="65">
        <v>156</v>
      </c>
      <c r="Q16" s="65">
        <v>221</v>
      </c>
      <c r="R16" s="65">
        <v>166</v>
      </c>
      <c r="S16" s="65">
        <v>220</v>
      </c>
      <c r="T16" s="65">
        <v>131</v>
      </c>
      <c r="U16" s="65">
        <v>111</v>
      </c>
      <c r="V16" s="65">
        <v>146</v>
      </c>
      <c r="W16" s="65">
        <v>86</v>
      </c>
      <c r="X16" s="65">
        <v>67</v>
      </c>
      <c r="Y16" s="65">
        <v>62</v>
      </c>
      <c r="Z16" s="65">
        <v>33</v>
      </c>
      <c r="AA16" s="65">
        <v>25</v>
      </c>
      <c r="AB16" s="65">
        <v>21</v>
      </c>
      <c r="AC16" s="65">
        <v>9</v>
      </c>
      <c r="AD16" s="65">
        <v>62</v>
      </c>
      <c r="AE16" s="65">
        <v>20</v>
      </c>
      <c r="AK16" s="82" t="s">
        <v>88</v>
      </c>
    </row>
    <row r="17" spans="2:41" ht="18.75" customHeight="1" x14ac:dyDescent="0.15"/>
    <row r="18" spans="2:41" ht="18.75" customHeight="1" x14ac:dyDescent="0.15">
      <c r="B18" s="2" t="s">
        <v>165</v>
      </c>
    </row>
    <row r="19" spans="2:41" ht="18.75" customHeight="1" x14ac:dyDescent="0.15">
      <c r="B19" s="4" t="s">
        <v>229</v>
      </c>
    </row>
    <row r="20" spans="2:41" ht="18.75" customHeight="1" thickBot="1" x14ac:dyDescent="0.2">
      <c r="B20" s="961" t="s">
        <v>65</v>
      </c>
      <c r="C20" s="963" t="s">
        <v>64</v>
      </c>
      <c r="D20" s="964"/>
      <c r="E20" s="964"/>
      <c r="F20" s="964"/>
      <c r="G20" s="964"/>
      <c r="H20" s="964"/>
      <c r="I20" s="964"/>
      <c r="J20" s="964"/>
      <c r="K20" s="964"/>
      <c r="L20" s="965"/>
      <c r="O20" s="33" t="s">
        <v>63</v>
      </c>
    </row>
    <row r="21" spans="2:41" ht="18.75" customHeight="1" thickTop="1" thickBot="1" x14ac:dyDescent="0.2">
      <c r="B21" s="962"/>
      <c r="C21" s="966" t="s">
        <v>69</v>
      </c>
      <c r="D21" s="967"/>
      <c r="E21" s="966" t="s">
        <v>70</v>
      </c>
      <c r="F21" s="967"/>
      <c r="G21" s="966" t="s">
        <v>71</v>
      </c>
      <c r="H21" s="967"/>
      <c r="I21" s="966" t="s">
        <v>72</v>
      </c>
      <c r="J21" s="967"/>
      <c r="K21" s="966" t="s">
        <v>62</v>
      </c>
      <c r="L21" s="967"/>
      <c r="O21" s="425" t="s">
        <v>373</v>
      </c>
      <c r="P21" s="489" t="s">
        <v>182</v>
      </c>
      <c r="Q21" s="489" t="s">
        <v>183</v>
      </c>
      <c r="R21" s="489" t="s">
        <v>184</v>
      </c>
      <c r="S21" s="489" t="s">
        <v>185</v>
      </c>
      <c r="T21" s="489" t="s">
        <v>186</v>
      </c>
      <c r="U21" s="489" t="s">
        <v>187</v>
      </c>
      <c r="V21" s="489" t="s">
        <v>188</v>
      </c>
      <c r="W21" s="489" t="s">
        <v>189</v>
      </c>
      <c r="X21" s="489" t="s">
        <v>190</v>
      </c>
      <c r="Y21" s="489" t="s">
        <v>191</v>
      </c>
      <c r="Z21" s="489" t="s">
        <v>192</v>
      </c>
      <c r="AA21" s="489" t="s">
        <v>193</v>
      </c>
      <c r="AB21" s="489" t="s">
        <v>194</v>
      </c>
      <c r="AC21" s="489" t="s">
        <v>195</v>
      </c>
      <c r="AD21" s="489" t="s">
        <v>196</v>
      </c>
      <c r="AE21" s="55" t="s">
        <v>197</v>
      </c>
      <c r="AF21" s="21"/>
      <c r="AG21" s="21"/>
    </row>
    <row r="22" spans="2:41" s="21" customFormat="1" ht="18.75" customHeight="1" thickTop="1" x14ac:dyDescent="0.15">
      <c r="B22" s="225" t="s">
        <v>2</v>
      </c>
      <c r="C22" s="226">
        <f>IFERROR(INDEX(年齢階層×在院期間区分F02F09＿寛解・院内寛解[#All],MATCH($AK22,年齢階層×在院期間区分F02F09＿寛解・院内寛解[[#All],[行ラベル]],0),MATCH($AL$4,年齢階層×在院期間区分F02F09＿寛解・院内寛解[#Headers],0)),0)+IFERROR(INDEX(年齢階層×在院期間区分F02F09＿寛解・院内寛解[#All],MATCH($AK22,年齢階層×在院期間区分F02F09＿寛解・院内寛解[[#All],[行ラベル]],0),MATCH($AM$4,年齢階層×在院期間区分F02F09＿寛解・院内寛解[#Headers],0)),0)+IFERROR(INDEX(年齢階層×在院期間区分F02F09＿寛解・院内寛解[#All],MATCH($AK22,年齢階層×在院期間区分F02F09＿寛解・院内寛解[[#All],[行ラベル]],0),MATCH($AN$4,年齢階層×在院期間区分F02F09＿寛解・院内寛解[#Headers],0)),0)+IFERROR(INDEX(年齢階層×在院期間区分F02F09＿寛解・院内寛解[#All],MATCH($AK22,年齢階層×在院期間区分F02F09＿寛解・院内寛解[[#All],[行ラベル]],0),MATCH($AO$4,年齢階層×在院期間区分F02F09＿寛解・院内寛解[#Headers],0)),0)</f>
        <v>0</v>
      </c>
      <c r="D22" s="239">
        <f t="shared" ref="D22:D33" si="6">IFERROR(C22/$C$31,"-")</f>
        <v>0</v>
      </c>
      <c r="E22" s="226">
        <f>IFERROR(INDEX(年齢階層×在院期間区分F02F09＿寛解・院内寛解[#All],MATCH($AK22,年齢階層×在院期間区分F02F09＿寛解・院内寛解[[#All],[行ラベル]],0),MATCH($AP$4,年齢階層×在院期間区分F02F09＿寛解・院内寛解[#Headers],0)),0)+IFERROR(INDEX(年齢階層×在院期間区分F02F09＿寛解・院内寛解[#All],MATCH($AK22,年齢階層×在院期間区分F02F09＿寛解・院内寛解[[#All],[行ラベル]],0),MATCH($AQ$4,年齢階層×在院期間区分F02F09＿寛解・院内寛解[#Headers],0)),0)+IFERROR(INDEX(年齢階層×在院期間区分F02F09＿寛解・院内寛解[#All],MATCH($AK22,年齢階層×在院期間区分F02F09＿寛解・院内寛解[[#All],[行ラベル]],0),MATCH($AR$4,年齢階層×在院期間区分F02F09＿寛解・院内寛解[#Headers],0)),0)+IFERROR(INDEX(年齢階層×在院期間区分F02F09＿寛解・院内寛解[#All],MATCH($AK22,年齢階層×在院期間区分F02F09＿寛解・院内寛解[[#All],[行ラベル]],0),MATCH($AS$4,年齢階層×在院期間区分F02F09＿寛解・院内寛解[#Headers],0)),0)+IFERROR(INDEX(年齢階層×在院期間区分F02F09＿寛解・院内寛解[#All],MATCH($AK22,年齢階層×在院期間区分F02F09＿寛解・院内寛解[[#All],[行ラベル]],0),MATCH($AT$4,年齢階層×在院期間区分F02F09＿寛解・院内寛解[#Headers],0)),0)</f>
        <v>0</v>
      </c>
      <c r="F22" s="239">
        <f t="shared" ref="F22:F33" si="7">IFERROR(E22/$E$31,"-")</f>
        <v>0</v>
      </c>
      <c r="G22" s="220">
        <f>IFERROR(INDEX(年齢階層×在院期間区分F02F09＿寛解・院内寛解[#All],MATCH($AK22,年齢階層×在院期間区分F02F09＿寛解・院内寛解[[#All],[行ラベル]],0),MATCH($AU$4,年齢階層×在院期間区分F02F09＿寛解・院内寛解[#Headers],0)),0)+IFERROR(INDEX(年齢階層×在院期間区分F02F09＿寛解・院内寛解[#All],MATCH($AK22,年齢階層×在院期間区分F02F09＿寛解・院内寛解[[#All],[行ラベル]],0),MATCH($AV$4,年齢階層×在院期間区分F02F09＿寛解・院内寛解[#Headers],0)),0)+IFERROR(INDEX(年齢階層×在院期間区分F02F09＿寛解・院内寛解[#All],MATCH($AK22,年齢階層×在院期間区分F02F09＿寛解・院内寛解[[#All],[行ラベル]],0),MATCH($AW$4,年齢階層×在院期間区分F02F09＿寛解・院内寛解[#Headers],0)),0)+IFERROR(INDEX(年齢階層×在院期間区分F02F09＿寛解・院内寛解[#All],MATCH($AK22,年齢階層×在院期間区分F02F09＿寛解・院内寛解[[#All],[行ラベル]],0),MATCH($AX$4,年齢階層×在院期間区分F02F09＿寛解・院内寛解[#Headers],0)),0)+IFERROR(INDEX(年齢階層×在院期間区分F02F09＿寛解・院内寛解[#All],MATCH($AK22,年齢階層×在院期間区分F02F09＿寛解・院内寛解[[#All],[行ラベル]],0),MATCH($AY$4,年齢階層×在院期間区分F02F09＿寛解・院内寛解[#Headers],0)),0)</f>
        <v>0</v>
      </c>
      <c r="H22" s="239">
        <f t="shared" ref="H22:H33" si="8">IFERROR(G22/$G$31,"-")</f>
        <v>0</v>
      </c>
      <c r="I22" s="226">
        <f>IFERROR(INDEX(年齢階層×在院期間区分F02F09＿寛解・院内寛解[#All],MATCH($AK22,年齢階層×在院期間区分F02F09＿寛解・院内寛解[[#All],[行ラベル]],0),MATCH($AZ$4,年齢階層×在院期間区分F02F09＿寛解・院内寛解[#Headers],0)),0)+IFERROR(INDEX(年齢階層×在院期間区分F02F09＿寛解・院内寛解[#All],MATCH($AK22,年齢階層×在院期間区分F02F09＿寛解・院内寛解[[#All],[行ラベル]],0),MATCH($BA$4,年齢階層×在院期間区分F02F09＿寛解・院内寛解[#Headers],0)),0)</f>
        <v>0</v>
      </c>
      <c r="J22" s="239">
        <f t="shared" ref="J22:J33" si="9">IFERROR(I22/$I$31,"-")</f>
        <v>0</v>
      </c>
      <c r="K22" s="220">
        <f t="shared" ref="K22:K30" si="10">SUM(C22,E22,G22,I22)</f>
        <v>0</v>
      </c>
      <c r="L22" s="239">
        <f t="shared" ref="L22:L33" si="11">IFERROR(K22/$K$31,"-")</f>
        <v>0</v>
      </c>
      <c r="O22" s="53" t="s">
        <v>2</v>
      </c>
      <c r="P22" s="65">
        <v>0</v>
      </c>
      <c r="Q22" s="65">
        <v>0</v>
      </c>
      <c r="R22" s="65">
        <v>0</v>
      </c>
      <c r="S22" s="65">
        <v>0</v>
      </c>
      <c r="T22" s="65">
        <v>0</v>
      </c>
      <c r="U22" s="65">
        <v>0</v>
      </c>
      <c r="V22" s="65">
        <v>0</v>
      </c>
      <c r="W22" s="65">
        <v>0</v>
      </c>
      <c r="X22" s="65">
        <v>0</v>
      </c>
      <c r="Y22" s="65">
        <v>0</v>
      </c>
      <c r="Z22" s="65">
        <v>0</v>
      </c>
      <c r="AA22" s="65">
        <v>0</v>
      </c>
      <c r="AB22" s="65">
        <v>0</v>
      </c>
      <c r="AC22" s="65">
        <v>0</v>
      </c>
      <c r="AD22" s="65">
        <v>0</v>
      </c>
      <c r="AE22" s="65">
        <v>0</v>
      </c>
      <c r="AK22" s="53" t="s">
        <v>2</v>
      </c>
    </row>
    <row r="23" spans="2:41" s="21" customFormat="1" ht="18.75" customHeight="1" x14ac:dyDescent="0.15">
      <c r="B23" s="227" t="s">
        <v>3</v>
      </c>
      <c r="C23" s="228">
        <f>IFERROR(INDEX(年齢階層×在院期間区分F02F09＿寛解・院内寛解[#All],MATCH($AK23,年齢階層×在院期間区分F02F09＿寛解・院内寛解[[#All],[行ラベル]],0),MATCH($AL$4,年齢階層×在院期間区分F02F09＿寛解・院内寛解[#Headers],0)),0)+IFERROR(INDEX(年齢階層×在院期間区分F02F09＿寛解・院内寛解[#All],MATCH($AK23,年齢階層×在院期間区分F02F09＿寛解・院内寛解[[#All],[行ラベル]],0),MATCH($AM$4,年齢階層×在院期間区分F02F09＿寛解・院内寛解[#Headers],0)),0)+IFERROR(INDEX(年齢階層×在院期間区分F02F09＿寛解・院内寛解[#All],MATCH($AK23,年齢階層×在院期間区分F02F09＿寛解・院内寛解[[#All],[行ラベル]],0),MATCH($AN$4,年齢階層×在院期間区分F02F09＿寛解・院内寛解[#Headers],0)),0)+IFERROR(INDEX(年齢階層×在院期間区分F02F09＿寛解・院内寛解[#All],MATCH($AK23,年齢階層×在院期間区分F02F09＿寛解・院内寛解[[#All],[行ラベル]],0),MATCH($AO$4,年齢階層×在院期間区分F02F09＿寛解・院内寛解[#Headers],0)),0)</f>
        <v>0</v>
      </c>
      <c r="D23" s="206">
        <f t="shared" si="6"/>
        <v>0</v>
      </c>
      <c r="E23" s="228">
        <f>IFERROR(INDEX(年齢階層×在院期間区分F02F09＿寛解・院内寛解[#All],MATCH($AK23,年齢階層×在院期間区分F02F09＿寛解・院内寛解[[#All],[行ラベル]],0),MATCH($AP$4,年齢階層×在院期間区分F02F09＿寛解・院内寛解[#Headers],0)),0)+IFERROR(INDEX(年齢階層×在院期間区分F02F09＿寛解・院内寛解[#All],MATCH($AK23,年齢階層×在院期間区分F02F09＿寛解・院内寛解[[#All],[行ラベル]],0),MATCH($AQ$4,年齢階層×在院期間区分F02F09＿寛解・院内寛解[#Headers],0)),0)+IFERROR(INDEX(年齢階層×在院期間区分F02F09＿寛解・院内寛解[#All],MATCH($AK23,年齢階層×在院期間区分F02F09＿寛解・院内寛解[[#All],[行ラベル]],0),MATCH($AR$4,年齢階層×在院期間区分F02F09＿寛解・院内寛解[#Headers],0)),0)+IFERROR(INDEX(年齢階層×在院期間区分F02F09＿寛解・院内寛解[#All],MATCH($AK23,年齢階層×在院期間区分F02F09＿寛解・院内寛解[[#All],[行ラベル]],0),MATCH($AS$4,年齢階層×在院期間区分F02F09＿寛解・院内寛解[#Headers],0)),0)+IFERROR(INDEX(年齢階層×在院期間区分F02F09＿寛解・院内寛解[#All],MATCH($AK23,年齢階層×在院期間区分F02F09＿寛解・院内寛解[[#All],[行ラベル]],0),MATCH($AT$4,年齢階層×在院期間区分F02F09＿寛解・院内寛解[#Headers],0)),0)</f>
        <v>1</v>
      </c>
      <c r="F23" s="206">
        <f t="shared" si="7"/>
        <v>2.2727272727272728E-2</v>
      </c>
      <c r="G23" s="205">
        <f>IFERROR(INDEX(年齢階層×在院期間区分F02F09＿寛解・院内寛解[#All],MATCH($AK23,年齢階層×在院期間区分F02F09＿寛解・院内寛解[[#All],[行ラベル]],0),MATCH($AU$4,年齢階層×在院期間区分F02F09＿寛解・院内寛解[#Headers],0)),0)+IFERROR(INDEX(年齢階層×在院期間区分F02F09＿寛解・院内寛解[#All],MATCH($AK23,年齢階層×在院期間区分F02F09＿寛解・院内寛解[[#All],[行ラベル]],0),MATCH($AV$4,年齢階層×在院期間区分F02F09＿寛解・院内寛解[#Headers],0)),0)+IFERROR(INDEX(年齢階層×在院期間区分F02F09＿寛解・院内寛解[#All],MATCH($AK23,年齢階層×在院期間区分F02F09＿寛解・院内寛解[[#All],[行ラベル]],0),MATCH($AW$4,年齢階層×在院期間区分F02F09＿寛解・院内寛解[#Headers],0)),0)+IFERROR(INDEX(年齢階層×在院期間区分F02F09＿寛解・院内寛解[#All],MATCH($AK23,年齢階層×在院期間区分F02F09＿寛解・院内寛解[[#All],[行ラベル]],0),MATCH($AX$4,年齢階層×在院期間区分F02F09＿寛解・院内寛解[#Headers],0)),0)+IFERROR(INDEX(年齢階層×在院期間区分F02F09＿寛解・院内寛解[#All],MATCH($AK23,年齢階層×在院期間区分F02F09＿寛解・院内寛解[[#All],[行ラベル]],0),MATCH($AY$4,年齢階層×在院期間区分F02F09＿寛解・院内寛解[#Headers],0)),0)</f>
        <v>0</v>
      </c>
      <c r="H23" s="206">
        <f t="shared" si="8"/>
        <v>0</v>
      </c>
      <c r="I23" s="228">
        <f>IFERROR(INDEX(年齢階層×在院期間区分F02F09＿寛解・院内寛解[#All],MATCH($AK23,年齢階層×在院期間区分F02F09＿寛解・院内寛解[[#All],[行ラベル]],0),MATCH($AZ$4,年齢階層×在院期間区分F02F09＿寛解・院内寛解[#Headers],0)),0)+IFERROR(INDEX(年齢階層×在院期間区分F02F09＿寛解・院内寛解[#All],MATCH($AK23,年齢階層×在院期間区分F02F09＿寛解・院内寛解[[#All],[行ラベル]],0),MATCH($BA$4,年齢階層×在院期間区分F02F09＿寛解・院内寛解[#Headers],0)),0)</f>
        <v>0</v>
      </c>
      <c r="J23" s="206">
        <f t="shared" si="9"/>
        <v>0</v>
      </c>
      <c r="K23" s="205">
        <f t="shared" si="10"/>
        <v>1</v>
      </c>
      <c r="L23" s="206">
        <f t="shared" si="11"/>
        <v>6.41025641025641E-3</v>
      </c>
      <c r="O23" s="53" t="s">
        <v>3</v>
      </c>
      <c r="P23" s="65">
        <v>0</v>
      </c>
      <c r="Q23" s="65">
        <v>0</v>
      </c>
      <c r="R23" s="65">
        <v>0</v>
      </c>
      <c r="S23" s="65">
        <v>0</v>
      </c>
      <c r="T23" s="65">
        <v>1</v>
      </c>
      <c r="U23" s="65">
        <v>0</v>
      </c>
      <c r="V23" s="65">
        <v>0</v>
      </c>
      <c r="W23" s="65">
        <v>0</v>
      </c>
      <c r="X23" s="65">
        <v>0</v>
      </c>
      <c r="Y23" s="65">
        <v>0</v>
      </c>
      <c r="Z23" s="65">
        <v>0</v>
      </c>
      <c r="AA23" s="65">
        <v>0</v>
      </c>
      <c r="AB23" s="65">
        <v>0</v>
      </c>
      <c r="AC23" s="65">
        <v>0</v>
      </c>
      <c r="AD23" s="65">
        <v>0</v>
      </c>
      <c r="AE23" s="65">
        <v>0</v>
      </c>
      <c r="AK23" s="53" t="s">
        <v>3</v>
      </c>
    </row>
    <row r="24" spans="2:41" s="21" customFormat="1" ht="18.75" customHeight="1" x14ac:dyDescent="0.15">
      <c r="B24" s="227" t="s">
        <v>4</v>
      </c>
      <c r="C24" s="205">
        <f>IFERROR(INDEX(年齢階層×在院期間区分F02F09＿寛解・院内寛解[#All],MATCH($AK24,年齢階層×在院期間区分F02F09＿寛解・院内寛解[[#All],[行ラベル]],0),MATCH($AL$4,年齢階層×在院期間区分F02F09＿寛解・院内寛解[#Headers],0)),0)+IFERROR(INDEX(年齢階層×在院期間区分F02F09＿寛解・院内寛解[#All],MATCH($AK24,年齢階層×在院期間区分F02F09＿寛解・院内寛解[[#All],[行ラベル]],0),MATCH($AM$4,年齢階層×在院期間区分F02F09＿寛解・院内寛解[#Headers],0)),0)+IFERROR(INDEX(年齢階層×在院期間区分F02F09＿寛解・院内寛解[#All],MATCH($AK24,年齢階層×在院期間区分F02F09＿寛解・院内寛解[[#All],[行ラベル]],0),MATCH($AN$4,年齢階層×在院期間区分F02F09＿寛解・院内寛解[#Headers],0)),0)+IFERROR(INDEX(年齢階層×在院期間区分F02F09＿寛解・院内寛解[#All],MATCH($AK24,年齢階層×在院期間区分F02F09＿寛解・院内寛解[[#All],[行ラベル]],0),MATCH($AO$4,年齢階層×在院期間区分F02F09＿寛解・院内寛解[#Headers],0)),0)</f>
        <v>1</v>
      </c>
      <c r="D24" s="206">
        <f t="shared" si="6"/>
        <v>9.9009900990099011E-3</v>
      </c>
      <c r="E24" s="228">
        <f>IFERROR(INDEX(年齢階層×在院期間区分F02F09＿寛解・院内寛解[#All],MATCH($AK24,年齢階層×在院期間区分F02F09＿寛解・院内寛解[[#All],[行ラベル]],0),MATCH($AP$4,年齢階層×在院期間区分F02F09＿寛解・院内寛解[#Headers],0)),0)+IFERROR(INDEX(年齢階層×在院期間区分F02F09＿寛解・院内寛解[#All],MATCH($AK24,年齢階層×在院期間区分F02F09＿寛解・院内寛解[[#All],[行ラベル]],0),MATCH($AQ$4,年齢階層×在院期間区分F02F09＿寛解・院内寛解[#Headers],0)),0)+IFERROR(INDEX(年齢階層×在院期間区分F02F09＿寛解・院内寛解[#All],MATCH($AK24,年齢階層×在院期間区分F02F09＿寛解・院内寛解[[#All],[行ラベル]],0),MATCH($AR$4,年齢階層×在院期間区分F02F09＿寛解・院内寛解[#Headers],0)),0)+IFERROR(INDEX(年齢階層×在院期間区分F02F09＿寛解・院内寛解[#All],MATCH($AK24,年齢階層×在院期間区分F02F09＿寛解・院内寛解[[#All],[行ラベル]],0),MATCH($AS$4,年齢階層×在院期間区分F02F09＿寛解・院内寛解[#Headers],0)),0)+IFERROR(INDEX(年齢階層×在院期間区分F02F09＿寛解・院内寛解[#All],MATCH($AK24,年齢階層×在院期間区分F02F09＿寛解・院内寛解[[#All],[行ラベル]],0),MATCH($AT$4,年齢階層×在院期間区分F02F09＿寛解・院内寛解[#Headers],0)),0)</f>
        <v>0</v>
      </c>
      <c r="F24" s="206">
        <f t="shared" si="7"/>
        <v>0</v>
      </c>
      <c r="G24" s="229">
        <f>IFERROR(INDEX(年齢階層×在院期間区分F02F09＿寛解・院内寛解[#All],MATCH($AK24,年齢階層×在院期間区分F02F09＿寛解・院内寛解[[#All],[行ラベル]],0),MATCH($AU$4,年齢階層×在院期間区分F02F09＿寛解・院内寛解[#Headers],0)),0)+IFERROR(INDEX(年齢階層×在院期間区分F02F09＿寛解・院内寛解[#All],MATCH($AK24,年齢階層×在院期間区分F02F09＿寛解・院内寛解[[#All],[行ラベル]],0),MATCH($AV$4,年齢階層×在院期間区分F02F09＿寛解・院内寛解[#Headers],0)),0)+IFERROR(INDEX(年齢階層×在院期間区分F02F09＿寛解・院内寛解[#All],MATCH($AK24,年齢階層×在院期間区分F02F09＿寛解・院内寛解[[#All],[行ラベル]],0),MATCH($AW$4,年齢階層×在院期間区分F02F09＿寛解・院内寛解[#Headers],0)),0)+IFERROR(INDEX(年齢階層×在院期間区分F02F09＿寛解・院内寛解[#All],MATCH($AK24,年齢階層×在院期間区分F02F09＿寛解・院内寛解[[#All],[行ラベル]],0),MATCH($AX$4,年齢階層×在院期間区分F02F09＿寛解・院内寛解[#Headers],0)),0)+IFERROR(INDEX(年齢階層×在院期間区分F02F09＿寛解・院内寛解[#All],MATCH($AK24,年齢階層×在院期間区分F02F09＿寛解・院内寛解[[#All],[行ラベル]],0),MATCH($AY$4,年齢階層×在院期間区分F02F09＿寛解・院内寛解[#Headers],0)),0)</f>
        <v>0</v>
      </c>
      <c r="H24" s="206">
        <f t="shared" si="8"/>
        <v>0</v>
      </c>
      <c r="I24" s="205">
        <f>IFERROR(INDEX(年齢階層×在院期間区分F02F09＿寛解・院内寛解[#All],MATCH($AK24,年齢階層×在院期間区分F02F09＿寛解・院内寛解[[#All],[行ラベル]],0),MATCH($AZ$4,年齢階層×在院期間区分F02F09＿寛解・院内寛解[#Headers],0)),0)+IFERROR(INDEX(年齢階層×在院期間区分F02F09＿寛解・院内寛解[#All],MATCH($AK24,年齢階層×在院期間区分F02F09＿寛解・院内寛解[[#All],[行ラベル]],0),MATCH($BA$4,年齢階層×在院期間区分F02F09＿寛解・院内寛解[#Headers],0)),0)</f>
        <v>0</v>
      </c>
      <c r="J24" s="206">
        <f t="shared" si="9"/>
        <v>0</v>
      </c>
      <c r="K24" s="205">
        <f t="shared" si="10"/>
        <v>1</v>
      </c>
      <c r="L24" s="206">
        <f t="shared" si="11"/>
        <v>6.41025641025641E-3</v>
      </c>
      <c r="O24" s="53" t="s">
        <v>4</v>
      </c>
      <c r="P24" s="65">
        <v>0</v>
      </c>
      <c r="Q24" s="65">
        <v>1</v>
      </c>
      <c r="R24" s="65">
        <v>0</v>
      </c>
      <c r="S24" s="65">
        <v>0</v>
      </c>
      <c r="T24" s="65">
        <v>0</v>
      </c>
      <c r="U24" s="65">
        <v>0</v>
      </c>
      <c r="V24" s="65">
        <v>0</v>
      </c>
      <c r="W24" s="65">
        <v>0</v>
      </c>
      <c r="X24" s="65">
        <v>0</v>
      </c>
      <c r="Y24" s="65">
        <v>0</v>
      </c>
      <c r="Z24" s="65">
        <v>0</v>
      </c>
      <c r="AA24" s="65">
        <v>0</v>
      </c>
      <c r="AB24" s="65">
        <v>0</v>
      </c>
      <c r="AC24" s="65">
        <v>0</v>
      </c>
      <c r="AD24" s="65">
        <v>0</v>
      </c>
      <c r="AE24" s="65">
        <v>0</v>
      </c>
      <c r="AK24" s="53" t="s">
        <v>4</v>
      </c>
    </row>
    <row r="25" spans="2:41" s="21" customFormat="1" ht="18.75" customHeight="1" x14ac:dyDescent="0.15">
      <c r="B25" s="227" t="s">
        <v>5</v>
      </c>
      <c r="C25" s="205">
        <f>IFERROR(INDEX(年齢階層×在院期間区分F02F09＿寛解・院内寛解[#All],MATCH($AK25,年齢階層×在院期間区分F02F09＿寛解・院内寛解[[#All],[行ラベル]],0),MATCH($AL$4,年齢階層×在院期間区分F02F09＿寛解・院内寛解[#Headers],0)),0)+IFERROR(INDEX(年齢階層×在院期間区分F02F09＿寛解・院内寛解[#All],MATCH($AK25,年齢階層×在院期間区分F02F09＿寛解・院内寛解[[#All],[行ラベル]],0),MATCH($AM$4,年齢階層×在院期間区分F02F09＿寛解・院内寛解[#Headers],0)),0)+IFERROR(INDEX(年齢階層×在院期間区分F02F09＿寛解・院内寛解[#All],MATCH($AK25,年齢階層×在院期間区分F02F09＿寛解・院内寛解[[#All],[行ラベル]],0),MATCH($AN$4,年齢階層×在院期間区分F02F09＿寛解・院内寛解[#Headers],0)),0)+IFERROR(INDEX(年齢階層×在院期間区分F02F09＿寛解・院内寛解[#All],MATCH($AK25,年齢階層×在院期間区分F02F09＿寛解・院内寛解[[#All],[行ラベル]],0),MATCH($AO$4,年齢階層×在院期間区分F02F09＿寛解・院内寛解[#Headers],0)),0)</f>
        <v>1</v>
      </c>
      <c r="D25" s="206">
        <f t="shared" si="6"/>
        <v>9.9009900990099011E-3</v>
      </c>
      <c r="E25" s="205">
        <f>IFERROR(INDEX(年齢階層×在院期間区分F02F09＿寛解・院内寛解[#All],MATCH($AK25,年齢階層×在院期間区分F02F09＿寛解・院内寛解[[#All],[行ラベル]],0),MATCH($AP$4,年齢階層×在院期間区分F02F09＿寛解・院内寛解[#Headers],0)),0)+IFERROR(INDEX(年齢階層×在院期間区分F02F09＿寛解・院内寛解[#All],MATCH($AK25,年齢階層×在院期間区分F02F09＿寛解・院内寛解[[#All],[行ラベル]],0),MATCH($AQ$4,年齢階層×在院期間区分F02F09＿寛解・院内寛解[#Headers],0)),0)+IFERROR(INDEX(年齢階層×在院期間区分F02F09＿寛解・院内寛解[#All],MATCH($AK25,年齢階層×在院期間区分F02F09＿寛解・院内寛解[[#All],[行ラベル]],0),MATCH($AR$4,年齢階層×在院期間区分F02F09＿寛解・院内寛解[#Headers],0)),0)+IFERROR(INDEX(年齢階層×在院期間区分F02F09＿寛解・院内寛解[#All],MATCH($AK25,年齢階層×在院期間区分F02F09＿寛解・院内寛解[[#All],[行ラベル]],0),MATCH($AS$4,年齢階層×在院期間区分F02F09＿寛解・院内寛解[#Headers],0)),0)+IFERROR(INDEX(年齢階層×在院期間区分F02F09＿寛解・院内寛解[#All],MATCH($AK25,年齢階層×在院期間区分F02F09＿寛解・院内寛解[[#All],[行ラベル]],0),MATCH($AT$4,年齢階層×在院期間区分F02F09＿寛解・院内寛解[#Headers],0)),0)</f>
        <v>1</v>
      </c>
      <c r="F25" s="206">
        <f t="shared" si="7"/>
        <v>2.2727272727272728E-2</v>
      </c>
      <c r="G25" s="205">
        <f>IFERROR(INDEX(年齢階層×在院期間区分F02F09＿寛解・院内寛解[#All],MATCH($AK25,年齢階層×在院期間区分F02F09＿寛解・院内寛解[[#All],[行ラベル]],0),MATCH($AU$4,年齢階層×在院期間区分F02F09＿寛解・院内寛解[#Headers],0)),0)+IFERROR(INDEX(年齢階層×在院期間区分F02F09＿寛解・院内寛解[#All],MATCH($AK25,年齢階層×在院期間区分F02F09＿寛解・院内寛解[[#All],[行ラベル]],0),MATCH($AV$4,年齢階層×在院期間区分F02F09＿寛解・院内寛解[#Headers],0)),0)+IFERROR(INDEX(年齢階層×在院期間区分F02F09＿寛解・院内寛解[#All],MATCH($AK25,年齢階層×在院期間区分F02F09＿寛解・院内寛解[[#All],[行ラベル]],0),MATCH($AW$4,年齢階層×在院期間区分F02F09＿寛解・院内寛解[#Headers],0)),0)+IFERROR(INDEX(年齢階層×在院期間区分F02F09＿寛解・院内寛解[#All],MATCH($AK25,年齢階層×在院期間区分F02F09＿寛解・院内寛解[[#All],[行ラベル]],0),MATCH($AX$4,年齢階層×在院期間区分F02F09＿寛解・院内寛解[#Headers],0)),0)+IFERROR(INDEX(年齢階層×在院期間区分F02F09＿寛解・院内寛解[#All],MATCH($AK25,年齢階層×在院期間区分F02F09＿寛解・院内寛解[[#All],[行ラベル]],0),MATCH($AY$4,年齢階層×在院期間区分F02F09＿寛解・院内寛解[#Headers],0)),0)</f>
        <v>0</v>
      </c>
      <c r="H25" s="206">
        <f t="shared" si="8"/>
        <v>0</v>
      </c>
      <c r="I25" s="205">
        <f>IFERROR(INDEX(年齢階層×在院期間区分F02F09＿寛解・院内寛解[#All],MATCH($AK25,年齢階層×在院期間区分F02F09＿寛解・院内寛解[[#All],[行ラベル]],0),MATCH($AZ$4,年齢階層×在院期間区分F02F09＿寛解・院内寛解[#Headers],0)),0)+IFERROR(INDEX(年齢階層×在院期間区分F02F09＿寛解・院内寛解[#All],MATCH($AK25,年齢階層×在院期間区分F02F09＿寛解・院内寛解[[#All],[行ラベル]],0),MATCH($BA$4,年齢階層×在院期間区分F02F09＿寛解・院内寛解[#Headers],0)),0)</f>
        <v>0</v>
      </c>
      <c r="J25" s="206">
        <f t="shared" si="9"/>
        <v>0</v>
      </c>
      <c r="K25" s="205">
        <f t="shared" si="10"/>
        <v>2</v>
      </c>
      <c r="L25" s="206">
        <f t="shared" si="11"/>
        <v>1.282051282051282E-2</v>
      </c>
      <c r="O25" s="53" t="s">
        <v>5</v>
      </c>
      <c r="P25" s="65">
        <v>1</v>
      </c>
      <c r="Q25" s="65">
        <v>0</v>
      </c>
      <c r="R25" s="65">
        <v>0</v>
      </c>
      <c r="S25" s="65">
        <v>0</v>
      </c>
      <c r="T25" s="65">
        <v>0</v>
      </c>
      <c r="U25" s="65">
        <v>0</v>
      </c>
      <c r="V25" s="65">
        <v>1</v>
      </c>
      <c r="W25" s="65">
        <v>0</v>
      </c>
      <c r="X25" s="65">
        <v>0</v>
      </c>
      <c r="Y25" s="65">
        <v>0</v>
      </c>
      <c r="Z25" s="65">
        <v>0</v>
      </c>
      <c r="AA25" s="65">
        <v>0</v>
      </c>
      <c r="AB25" s="65">
        <v>0</v>
      </c>
      <c r="AC25" s="65">
        <v>0</v>
      </c>
      <c r="AD25" s="65">
        <v>0</v>
      </c>
      <c r="AE25" s="65">
        <v>0</v>
      </c>
      <c r="AK25" s="53" t="s">
        <v>5</v>
      </c>
    </row>
    <row r="26" spans="2:41" s="21" customFormat="1" ht="18.75" customHeight="1" x14ac:dyDescent="0.15">
      <c r="B26" s="227" t="s">
        <v>6</v>
      </c>
      <c r="C26" s="229">
        <f>IFERROR(INDEX(年齢階層×在院期間区分F02F09＿寛解・院内寛解[#All],MATCH($AK26,年齢階層×在院期間区分F02F09＿寛解・院内寛解[[#All],[行ラベル]],0),MATCH($AL$4,年齢階層×在院期間区分F02F09＿寛解・院内寛解[#Headers],0)),0)+IFERROR(INDEX(年齢階層×在院期間区分F02F09＿寛解・院内寛解[#All],MATCH($AK26,年齢階層×在院期間区分F02F09＿寛解・院内寛解[[#All],[行ラベル]],0),MATCH($AM$4,年齢階層×在院期間区分F02F09＿寛解・院内寛解[#Headers],0)),0)+IFERROR(INDEX(年齢階層×在院期間区分F02F09＿寛解・院内寛解[#All],MATCH($AK26,年齢階層×在院期間区分F02F09＿寛解・院内寛解[[#All],[行ラベル]],0),MATCH($AN$4,年齢階層×在院期間区分F02F09＿寛解・院内寛解[#Headers],0)),0)+IFERROR(INDEX(年齢階層×在院期間区分F02F09＿寛解・院内寛解[#All],MATCH($AK26,年齢階層×在院期間区分F02F09＿寛解・院内寛解[[#All],[行ラベル]],0),MATCH($AO$4,年齢階層×在院期間区分F02F09＿寛解・院内寛解[#Headers],0)),0)</f>
        <v>5</v>
      </c>
      <c r="D26" s="206">
        <f t="shared" si="6"/>
        <v>4.9504950495049507E-2</v>
      </c>
      <c r="E26" s="205">
        <f>IFERROR(INDEX(年齢階層×在院期間区分F02F09＿寛解・院内寛解[#All],MATCH($AK26,年齢階層×在院期間区分F02F09＿寛解・院内寛解[[#All],[行ラベル]],0),MATCH($AP$4,年齢階層×在院期間区分F02F09＿寛解・院内寛解[#Headers],0)),0)+IFERROR(INDEX(年齢階層×在院期間区分F02F09＿寛解・院内寛解[#All],MATCH($AK26,年齢階層×在院期間区分F02F09＿寛解・院内寛解[[#All],[行ラベル]],0),MATCH($AQ$4,年齢階層×在院期間区分F02F09＿寛解・院内寛解[#Headers],0)),0)+IFERROR(INDEX(年齢階層×在院期間区分F02F09＿寛解・院内寛解[#All],MATCH($AK26,年齢階層×在院期間区分F02F09＿寛解・院内寛解[[#All],[行ラベル]],0),MATCH($AR$4,年齢階層×在院期間区分F02F09＿寛解・院内寛解[#Headers],0)),0)+IFERROR(INDEX(年齢階層×在院期間区分F02F09＿寛解・院内寛解[#All],MATCH($AK26,年齢階層×在院期間区分F02F09＿寛解・院内寛解[[#All],[行ラベル]],0),MATCH($AS$4,年齢階層×在院期間区分F02F09＿寛解・院内寛解[#Headers],0)),0)+IFERROR(INDEX(年齢階層×在院期間区分F02F09＿寛解・院内寛解[#All],MATCH($AK26,年齢階層×在院期間区分F02F09＿寛解・院内寛解[[#All],[行ラベル]],0),MATCH($AT$4,年齢階層×在院期間区分F02F09＿寛解・院内寛解[#Headers],0)),0)</f>
        <v>2</v>
      </c>
      <c r="F26" s="206">
        <f t="shared" si="7"/>
        <v>4.5454545454545456E-2</v>
      </c>
      <c r="G26" s="229">
        <f>IFERROR(INDEX(年齢階層×在院期間区分F02F09＿寛解・院内寛解[#All],MATCH($AK26,年齢階層×在院期間区分F02F09＿寛解・院内寛解[[#All],[行ラベル]],0),MATCH($AU$4,年齢階層×在院期間区分F02F09＿寛解・院内寛解[#Headers],0)),0)+IFERROR(INDEX(年齢階層×在院期間区分F02F09＿寛解・院内寛解[#All],MATCH($AK26,年齢階層×在院期間区分F02F09＿寛解・院内寛解[[#All],[行ラベル]],0),MATCH($AV$4,年齢階層×在院期間区分F02F09＿寛解・院内寛解[#Headers],0)),0)+IFERROR(INDEX(年齢階層×在院期間区分F02F09＿寛解・院内寛解[#All],MATCH($AK26,年齢階層×在院期間区分F02F09＿寛解・院内寛解[[#All],[行ラベル]],0),MATCH($AW$4,年齢階層×在院期間区分F02F09＿寛解・院内寛解[#Headers],0)),0)+IFERROR(INDEX(年齢階層×在院期間区分F02F09＿寛解・院内寛解[#All],MATCH($AK26,年齢階層×在院期間区分F02F09＿寛解・院内寛解[[#All],[行ラベル]],0),MATCH($AX$4,年齢階層×在院期間区分F02F09＿寛解・院内寛解[#Headers],0)),0)+IFERROR(INDEX(年齢階層×在院期間区分F02F09＿寛解・院内寛解[#All],MATCH($AK26,年齢階層×在院期間区分F02F09＿寛解・院内寛解[[#All],[行ラベル]],0),MATCH($AY$4,年齢階層×在院期間区分F02F09＿寛解・院内寛解[#Headers],0)),0)</f>
        <v>0</v>
      </c>
      <c r="H26" s="206">
        <f t="shared" si="8"/>
        <v>0</v>
      </c>
      <c r="I26" s="205">
        <f>IFERROR(INDEX(年齢階層×在院期間区分F02F09＿寛解・院内寛解[#All],MATCH($AK26,年齢階層×在院期間区分F02F09＿寛解・院内寛解[[#All],[行ラベル]],0),MATCH($AZ$4,年齢階層×在院期間区分F02F09＿寛解・院内寛解[#Headers],0)),0)+IFERROR(INDEX(年齢階層×在院期間区分F02F09＿寛解・院内寛解[#All],MATCH($AK26,年齢階層×在院期間区分F02F09＿寛解・院内寛解[[#All],[行ラベル]],0),MATCH($BA$4,年齢階層×在院期間区分F02F09＿寛解・院内寛解[#Headers],0)),0)</f>
        <v>1</v>
      </c>
      <c r="J26" s="206">
        <f t="shared" si="9"/>
        <v>0.16666666666666666</v>
      </c>
      <c r="K26" s="205">
        <f t="shared" si="10"/>
        <v>8</v>
      </c>
      <c r="L26" s="206">
        <f t="shared" si="11"/>
        <v>5.128205128205128E-2</v>
      </c>
      <c r="O26" s="53" t="s">
        <v>6</v>
      </c>
      <c r="P26" s="65">
        <v>0</v>
      </c>
      <c r="Q26" s="65">
        <v>3</v>
      </c>
      <c r="R26" s="65">
        <v>2</v>
      </c>
      <c r="S26" s="65">
        <v>0</v>
      </c>
      <c r="T26" s="65">
        <v>1</v>
      </c>
      <c r="U26" s="65">
        <v>1</v>
      </c>
      <c r="V26" s="65">
        <v>0</v>
      </c>
      <c r="W26" s="65">
        <v>0</v>
      </c>
      <c r="X26" s="65">
        <v>0</v>
      </c>
      <c r="Y26" s="65">
        <v>0</v>
      </c>
      <c r="Z26" s="65">
        <v>0</v>
      </c>
      <c r="AA26" s="65">
        <v>0</v>
      </c>
      <c r="AB26" s="65">
        <v>0</v>
      </c>
      <c r="AC26" s="65">
        <v>0</v>
      </c>
      <c r="AD26" s="65">
        <v>1</v>
      </c>
      <c r="AE26" s="65">
        <v>0</v>
      </c>
      <c r="AK26" s="53" t="s">
        <v>6</v>
      </c>
    </row>
    <row r="27" spans="2:41" s="21" customFormat="1" ht="18.75" customHeight="1" x14ac:dyDescent="0.15">
      <c r="B27" s="227" t="s">
        <v>7</v>
      </c>
      <c r="C27" s="228">
        <f>IFERROR(INDEX(年齢階層×在院期間区分F02F09＿寛解・院内寛解[#All],MATCH($AK27,年齢階層×在院期間区分F02F09＿寛解・院内寛解[[#All],[行ラベル]],0),MATCH($AL$4,年齢階層×在院期間区分F02F09＿寛解・院内寛解[#Headers],0)),0)+IFERROR(INDEX(年齢階層×在院期間区分F02F09＿寛解・院内寛解[#All],MATCH($AK27,年齢階層×在院期間区分F02F09＿寛解・院内寛解[[#All],[行ラベル]],0),MATCH($AM$4,年齢階層×在院期間区分F02F09＿寛解・院内寛解[#Headers],0)),0)+IFERROR(INDEX(年齢階層×在院期間区分F02F09＿寛解・院内寛解[#All],MATCH($AK27,年齢階層×在院期間区分F02F09＿寛解・院内寛解[[#All],[行ラベル]],0),MATCH($AN$4,年齢階層×在院期間区分F02F09＿寛解・院内寛解[#Headers],0)),0)+IFERROR(INDEX(年齢階層×在院期間区分F02F09＿寛解・院内寛解[#All],MATCH($AK27,年齢階層×在院期間区分F02F09＿寛解・院内寛解[[#All],[行ラベル]],0),MATCH($AO$4,年齢階層×在院期間区分F02F09＿寛解・院内寛解[#Headers],0)),0)</f>
        <v>15</v>
      </c>
      <c r="D27" s="206">
        <f t="shared" si="6"/>
        <v>0.14851485148514851</v>
      </c>
      <c r="E27" s="205">
        <f>IFERROR(INDEX(年齢階層×在院期間区分F02F09＿寛解・院内寛解[#All],MATCH($AK27,年齢階層×在院期間区分F02F09＿寛解・院内寛解[[#All],[行ラベル]],0),MATCH($AP$4,年齢階層×在院期間区分F02F09＿寛解・院内寛解[#Headers],0)),0)+IFERROR(INDEX(年齢階層×在院期間区分F02F09＿寛解・院内寛解[#All],MATCH($AK27,年齢階層×在院期間区分F02F09＿寛解・院内寛解[[#All],[行ラベル]],0),MATCH($AQ$4,年齢階層×在院期間区分F02F09＿寛解・院内寛解[#Headers],0)),0)+IFERROR(INDEX(年齢階層×在院期間区分F02F09＿寛解・院内寛解[#All],MATCH($AK27,年齢階層×在院期間区分F02F09＿寛解・院内寛解[[#All],[行ラベル]],0),MATCH($AR$4,年齢階層×在院期間区分F02F09＿寛解・院内寛解[#Headers],0)),0)+IFERROR(INDEX(年齢階層×在院期間区分F02F09＿寛解・院内寛解[#All],MATCH($AK27,年齢階層×在院期間区分F02F09＿寛解・院内寛解[[#All],[行ラベル]],0),MATCH($AS$4,年齢階層×在院期間区分F02F09＿寛解・院内寛解[#Headers],0)),0)+IFERROR(INDEX(年齢階層×在院期間区分F02F09＿寛解・院内寛解[#All],MATCH($AK27,年齢階層×在院期間区分F02F09＿寛解・院内寛解[[#All],[行ラベル]],0),MATCH($AT$4,年齢階層×在院期間区分F02F09＿寛解・院内寛解[#Headers],0)),0)</f>
        <v>6</v>
      </c>
      <c r="F27" s="206">
        <f t="shared" si="7"/>
        <v>0.13636363636363635</v>
      </c>
      <c r="G27" s="228">
        <f>IFERROR(INDEX(年齢階層×在院期間区分F02F09＿寛解・院内寛解[#All],MATCH($AK27,年齢階層×在院期間区分F02F09＿寛解・院内寛解[[#All],[行ラベル]],0),MATCH($AU$4,年齢階層×在院期間区分F02F09＿寛解・院内寛解[#Headers],0)),0)+IFERROR(INDEX(年齢階層×在院期間区分F02F09＿寛解・院内寛解[#All],MATCH($AK27,年齢階層×在院期間区分F02F09＿寛解・院内寛解[[#All],[行ラベル]],0),MATCH($AV$4,年齢階層×在院期間区分F02F09＿寛解・院内寛解[#Headers],0)),0)+IFERROR(INDEX(年齢階層×在院期間区分F02F09＿寛解・院内寛解[#All],MATCH($AK27,年齢階層×在院期間区分F02F09＿寛解・院内寛解[[#All],[行ラベル]],0),MATCH($AW$4,年齢階層×在院期間区分F02F09＿寛解・院内寛解[#Headers],0)),0)+IFERROR(INDEX(年齢階層×在院期間区分F02F09＿寛解・院内寛解[#All],MATCH($AK27,年齢階層×在院期間区分F02F09＿寛解・院内寛解[[#All],[行ラベル]],0),MATCH($AX$4,年齢階層×在院期間区分F02F09＿寛解・院内寛解[#Headers],0)),0)+IFERROR(INDEX(年齢階層×在院期間区分F02F09＿寛解・院内寛解[#All],MATCH($AK27,年齢階層×在院期間区分F02F09＿寛解・院内寛解[[#All],[行ラベル]],0),MATCH($AY$4,年齢階層×在院期間区分F02F09＿寛解・院内寛解[#Headers],0)),0)</f>
        <v>2</v>
      </c>
      <c r="H27" s="206">
        <f t="shared" si="8"/>
        <v>0.4</v>
      </c>
      <c r="I27" s="205">
        <f>IFERROR(INDEX(年齢階層×在院期間区分F02F09＿寛解・院内寛解[#All],MATCH($AK27,年齢階層×在院期間区分F02F09＿寛解・院内寛解[[#All],[行ラベル]],0),MATCH($AZ$4,年齢階層×在院期間区分F02F09＿寛解・院内寛解[#Headers],0)),0)+IFERROR(INDEX(年齢階層×在院期間区分F02F09＿寛解・院内寛解[#All],MATCH($AK27,年齢階層×在院期間区分F02F09＿寛解・院内寛解[[#All],[行ラベル]],0),MATCH($BA$4,年齢階層×在院期間区分F02F09＿寛解・院内寛解[#Headers],0)),0)</f>
        <v>1</v>
      </c>
      <c r="J27" s="206">
        <f t="shared" si="9"/>
        <v>0.16666666666666666</v>
      </c>
      <c r="K27" s="205">
        <f t="shared" si="10"/>
        <v>24</v>
      </c>
      <c r="L27" s="206">
        <f t="shared" si="11"/>
        <v>0.15384615384615385</v>
      </c>
      <c r="O27" s="53" t="s">
        <v>7</v>
      </c>
      <c r="P27" s="65">
        <v>2</v>
      </c>
      <c r="Q27" s="65">
        <v>5</v>
      </c>
      <c r="R27" s="65">
        <v>3</v>
      </c>
      <c r="S27" s="65">
        <v>5</v>
      </c>
      <c r="T27" s="65">
        <v>0</v>
      </c>
      <c r="U27" s="65">
        <v>4</v>
      </c>
      <c r="V27" s="65">
        <v>0</v>
      </c>
      <c r="W27" s="65">
        <v>0</v>
      </c>
      <c r="X27" s="65">
        <v>2</v>
      </c>
      <c r="Y27" s="65">
        <v>1</v>
      </c>
      <c r="Z27" s="65">
        <v>0</v>
      </c>
      <c r="AA27" s="65">
        <v>0</v>
      </c>
      <c r="AB27" s="65">
        <v>0</v>
      </c>
      <c r="AC27" s="65">
        <v>1</v>
      </c>
      <c r="AD27" s="65">
        <v>1</v>
      </c>
      <c r="AE27" s="65">
        <v>0</v>
      </c>
      <c r="AK27" s="53" t="s">
        <v>7</v>
      </c>
    </row>
    <row r="28" spans="2:41" s="21" customFormat="1" ht="18.75" customHeight="1" x14ac:dyDescent="0.15">
      <c r="B28" s="227" t="s">
        <v>8</v>
      </c>
      <c r="C28" s="205">
        <f>IFERROR(INDEX(年齢階層×在院期間区分F02F09＿寛解・院内寛解[#All],MATCH($AK28,年齢階層×在院期間区分F02F09＿寛解・院内寛解[[#All],[行ラベル]],0),MATCH($AL$4,年齢階層×在院期間区分F02F09＿寛解・院内寛解[#Headers],0)),0)+IFERROR(INDEX(年齢階層×在院期間区分F02F09＿寛解・院内寛解[#All],MATCH($AK28,年齢階層×在院期間区分F02F09＿寛解・院内寛解[[#All],[行ラベル]],0),MATCH($AM$4,年齢階層×在院期間区分F02F09＿寛解・院内寛解[#Headers],0)),0)+IFERROR(INDEX(年齢階層×在院期間区分F02F09＿寛解・院内寛解[#All],MATCH($AK28,年齢階層×在院期間区分F02F09＿寛解・院内寛解[[#All],[行ラベル]],0),MATCH($AN$4,年齢階層×在院期間区分F02F09＿寛解・院内寛解[#Headers],0)),0)+IFERROR(INDEX(年齢階層×在院期間区分F02F09＿寛解・院内寛解[#All],MATCH($AK28,年齢階層×在院期間区分F02F09＿寛解・院内寛解[[#All],[行ラベル]],0),MATCH($AO$4,年齢階層×在院期間区分F02F09＿寛解・院内寛解[#Headers],0)),0)</f>
        <v>24</v>
      </c>
      <c r="D28" s="206">
        <f t="shared" si="6"/>
        <v>0.23762376237623761</v>
      </c>
      <c r="E28" s="205">
        <f>IFERROR(INDEX(年齢階層×在院期間区分F02F09＿寛解・院内寛解[#All],MATCH($AK28,年齢階層×在院期間区分F02F09＿寛解・院内寛解[[#All],[行ラベル]],0),MATCH($AP$4,年齢階層×在院期間区分F02F09＿寛解・院内寛解[#Headers],0)),0)+IFERROR(INDEX(年齢階層×在院期間区分F02F09＿寛解・院内寛解[#All],MATCH($AK28,年齢階層×在院期間区分F02F09＿寛解・院内寛解[[#All],[行ラベル]],0),MATCH($AQ$4,年齢階層×在院期間区分F02F09＿寛解・院内寛解[#Headers],0)),0)+IFERROR(INDEX(年齢階層×在院期間区分F02F09＿寛解・院内寛解[#All],MATCH($AK28,年齢階層×在院期間区分F02F09＿寛解・院内寛解[[#All],[行ラベル]],0),MATCH($AR$4,年齢階層×在院期間区分F02F09＿寛解・院内寛解[#Headers],0)),0)+IFERROR(INDEX(年齢階層×在院期間区分F02F09＿寛解・院内寛解[#All],MATCH($AK28,年齢階層×在院期間区分F02F09＿寛解・院内寛解[[#All],[行ラベル]],0),MATCH($AS$4,年齢階層×在院期間区分F02F09＿寛解・院内寛解[#Headers],0)),0)+IFERROR(INDEX(年齢階層×在院期間区分F02F09＿寛解・院内寛解[#All],MATCH($AK28,年齢階層×在院期間区分F02F09＿寛解・院内寛解[[#All],[行ラベル]],0),MATCH($AT$4,年齢階層×在院期間区分F02F09＿寛解・院内寛解[#Headers],0)),0)</f>
        <v>16</v>
      </c>
      <c r="F28" s="206">
        <f t="shared" si="7"/>
        <v>0.36363636363636365</v>
      </c>
      <c r="G28" s="228">
        <f>IFERROR(INDEX(年齢階層×在院期間区分F02F09＿寛解・院内寛解[#All],MATCH($AK28,年齢階層×在院期間区分F02F09＿寛解・院内寛解[[#All],[行ラベル]],0),MATCH($AU$4,年齢階層×在院期間区分F02F09＿寛解・院内寛解[#Headers],0)),0)+IFERROR(INDEX(年齢階層×在院期間区分F02F09＿寛解・院内寛解[#All],MATCH($AK28,年齢階層×在院期間区分F02F09＿寛解・院内寛解[[#All],[行ラベル]],0),MATCH($AV$4,年齢階層×在院期間区分F02F09＿寛解・院内寛解[#Headers],0)),0)+IFERROR(INDEX(年齢階層×在院期間区分F02F09＿寛解・院内寛解[#All],MATCH($AK28,年齢階層×在院期間区分F02F09＿寛解・院内寛解[[#All],[行ラベル]],0),MATCH($AW$4,年齢階層×在院期間区分F02F09＿寛解・院内寛解[#Headers],0)),0)+IFERROR(INDEX(年齢階層×在院期間区分F02F09＿寛解・院内寛解[#All],MATCH($AK28,年齢階層×在院期間区分F02F09＿寛解・院内寛解[[#All],[行ラベル]],0),MATCH($AX$4,年齢階層×在院期間区分F02F09＿寛解・院内寛解[#Headers],0)),0)+IFERROR(INDEX(年齢階層×在院期間区分F02F09＿寛解・院内寛解[#All],MATCH($AK28,年齢階層×在院期間区分F02F09＿寛解・院内寛解[[#All],[行ラベル]],0),MATCH($AY$4,年齢階層×在院期間区分F02F09＿寛解・院内寛解[#Headers],0)),0)</f>
        <v>1</v>
      </c>
      <c r="H28" s="206">
        <f t="shared" si="8"/>
        <v>0.2</v>
      </c>
      <c r="I28" s="205">
        <f>IFERROR(INDEX(年齢階層×在院期間区分F02F09＿寛解・院内寛解[#All],MATCH($AK28,年齢階層×在院期間区分F02F09＿寛解・院内寛解[[#All],[行ラベル]],0),MATCH($AZ$4,年齢階層×在院期間区分F02F09＿寛解・院内寛解[#Headers],0)),0)+IFERROR(INDEX(年齢階層×在院期間区分F02F09＿寛解・院内寛解[#All],MATCH($AK28,年齢階層×在院期間区分F02F09＿寛解・院内寛解[[#All],[行ラベル]],0),MATCH($BA$4,年齢階層×在院期間区分F02F09＿寛解・院内寛解[#Headers],0)),0)</f>
        <v>2</v>
      </c>
      <c r="J28" s="206">
        <f t="shared" si="9"/>
        <v>0.33333333333333331</v>
      </c>
      <c r="K28" s="205">
        <f t="shared" si="10"/>
        <v>43</v>
      </c>
      <c r="L28" s="206">
        <f t="shared" si="11"/>
        <v>0.27564102564102566</v>
      </c>
      <c r="O28" s="53" t="s">
        <v>8</v>
      </c>
      <c r="P28" s="65">
        <v>6</v>
      </c>
      <c r="Q28" s="65">
        <v>7</v>
      </c>
      <c r="R28" s="65">
        <v>7</v>
      </c>
      <c r="S28" s="65">
        <v>4</v>
      </c>
      <c r="T28" s="65">
        <v>4</v>
      </c>
      <c r="U28" s="65">
        <v>3</v>
      </c>
      <c r="V28" s="65">
        <v>4</v>
      </c>
      <c r="W28" s="65">
        <v>3</v>
      </c>
      <c r="X28" s="65">
        <v>2</v>
      </c>
      <c r="Y28" s="65">
        <v>0</v>
      </c>
      <c r="Z28" s="65">
        <v>1</v>
      </c>
      <c r="AA28" s="65">
        <v>0</v>
      </c>
      <c r="AB28" s="65">
        <v>0</v>
      </c>
      <c r="AC28" s="65">
        <v>0</v>
      </c>
      <c r="AD28" s="65">
        <v>2</v>
      </c>
      <c r="AE28" s="65">
        <v>0</v>
      </c>
      <c r="AK28" s="53" t="s">
        <v>8</v>
      </c>
    </row>
    <row r="29" spans="2:41" s="21" customFormat="1" ht="18.75" customHeight="1" x14ac:dyDescent="0.15">
      <c r="B29" s="227" t="s">
        <v>9</v>
      </c>
      <c r="C29" s="229">
        <f>IFERROR(INDEX(年齢階層×在院期間区分F02F09＿寛解・院内寛解[#All],MATCH($AK29,年齢階層×在院期間区分F02F09＿寛解・院内寛解[[#All],[行ラベル]],0),MATCH($AL$4,年齢階層×在院期間区分F02F09＿寛解・院内寛解[#Headers],0)),0)+IFERROR(INDEX(年齢階層×在院期間区分F02F09＿寛解・院内寛解[#All],MATCH($AK29,年齢階層×在院期間区分F02F09＿寛解・院内寛解[[#All],[行ラベル]],0),MATCH($AM$4,年齢階層×在院期間区分F02F09＿寛解・院内寛解[#Headers],0)),0)+IFERROR(INDEX(年齢階層×在院期間区分F02F09＿寛解・院内寛解[#All],MATCH($AK29,年齢階層×在院期間区分F02F09＿寛解・院内寛解[[#All],[行ラベル]],0),MATCH($AN$4,年齢階層×在院期間区分F02F09＿寛解・院内寛解[#Headers],0)),0)+IFERROR(INDEX(年齢階層×在院期間区分F02F09＿寛解・院内寛解[#All],MATCH($AK29,年齢階層×在院期間区分F02F09＿寛解・院内寛解[[#All],[行ラベル]],0),MATCH($AO$4,年齢階層×在院期間区分F02F09＿寛解・院内寛解[#Headers],0)),0)</f>
        <v>43</v>
      </c>
      <c r="D29" s="206">
        <f t="shared" si="6"/>
        <v>0.42574257425742573</v>
      </c>
      <c r="E29" s="229">
        <f>IFERROR(INDEX(年齢階層×在院期間区分F02F09＿寛解・院内寛解[#All],MATCH($AK29,年齢階層×在院期間区分F02F09＿寛解・院内寛解[[#All],[行ラベル]],0),MATCH($AP$4,年齢階層×在院期間区分F02F09＿寛解・院内寛解[#Headers],0)),0)+IFERROR(INDEX(年齢階層×在院期間区分F02F09＿寛解・院内寛解[#All],MATCH($AK29,年齢階層×在院期間区分F02F09＿寛解・院内寛解[[#All],[行ラベル]],0),MATCH($AQ$4,年齢階層×在院期間区分F02F09＿寛解・院内寛解[#Headers],0)),0)+IFERROR(INDEX(年齢階層×在院期間区分F02F09＿寛解・院内寛解[#All],MATCH($AK29,年齢階層×在院期間区分F02F09＿寛解・院内寛解[[#All],[行ラベル]],0),MATCH($AR$4,年齢階層×在院期間区分F02F09＿寛解・院内寛解[#Headers],0)),0)+IFERROR(INDEX(年齢階層×在院期間区分F02F09＿寛解・院内寛解[#All],MATCH($AK29,年齢階層×在院期間区分F02F09＿寛解・院内寛解[[#All],[行ラベル]],0),MATCH($AS$4,年齢階層×在院期間区分F02F09＿寛解・院内寛解[#Headers],0)),0)+IFERROR(INDEX(年齢階層×在院期間区分F02F09＿寛解・院内寛解[#All],MATCH($AK29,年齢階層×在院期間区分F02F09＿寛解・院内寛解[[#All],[行ラベル]],0),MATCH($AT$4,年齢階層×在院期間区分F02F09＿寛解・院内寛解[#Headers],0)),0)</f>
        <v>14</v>
      </c>
      <c r="F29" s="206">
        <f t="shared" si="7"/>
        <v>0.31818181818181818</v>
      </c>
      <c r="G29" s="205">
        <f>IFERROR(INDEX(年齢階層×在院期間区分F02F09＿寛解・院内寛解[#All],MATCH($AK29,年齢階層×在院期間区分F02F09＿寛解・院内寛解[[#All],[行ラベル]],0),MATCH($AU$4,年齢階層×在院期間区分F02F09＿寛解・院内寛解[#Headers],0)),0)+IFERROR(INDEX(年齢階層×在院期間区分F02F09＿寛解・院内寛解[#All],MATCH($AK29,年齢階層×在院期間区分F02F09＿寛解・院内寛解[[#All],[行ラベル]],0),MATCH($AV$4,年齢階層×在院期間区分F02F09＿寛解・院内寛解[#Headers],0)),0)+IFERROR(INDEX(年齢階層×在院期間区分F02F09＿寛解・院内寛解[#All],MATCH($AK29,年齢階層×在院期間区分F02F09＿寛解・院内寛解[[#All],[行ラベル]],0),MATCH($AW$4,年齢階層×在院期間区分F02F09＿寛解・院内寛解[#Headers],0)),0)+IFERROR(INDEX(年齢階層×在院期間区分F02F09＿寛解・院内寛解[#All],MATCH($AK29,年齢階層×在院期間区分F02F09＿寛解・院内寛解[[#All],[行ラベル]],0),MATCH($AX$4,年齢階層×在院期間区分F02F09＿寛解・院内寛解[#Headers],0)),0)+IFERROR(INDEX(年齢階層×在院期間区分F02F09＿寛解・院内寛解[#All],MATCH($AK29,年齢階層×在院期間区分F02F09＿寛解・院内寛解[[#All],[行ラベル]],0),MATCH($AY$4,年齢階層×在院期間区分F02F09＿寛解・院内寛解[#Headers],0)),0)</f>
        <v>2</v>
      </c>
      <c r="H29" s="206">
        <f t="shared" si="8"/>
        <v>0.4</v>
      </c>
      <c r="I29" s="205">
        <f>IFERROR(INDEX(年齢階層×在院期間区分F02F09＿寛解・院内寛解[#All],MATCH($AK29,年齢階層×在院期間区分F02F09＿寛解・院内寛解[[#All],[行ラベル]],0),MATCH($AZ$4,年齢階層×在院期間区分F02F09＿寛解・院内寛解[#Headers],0)),0)+IFERROR(INDEX(年齢階層×在院期間区分F02F09＿寛解・院内寛解[#All],MATCH($AK29,年齢階層×在院期間区分F02F09＿寛解・院内寛解[[#All],[行ラベル]],0),MATCH($BA$4,年齢階層×在院期間区分F02F09＿寛解・院内寛解[#Headers],0)),0)</f>
        <v>2</v>
      </c>
      <c r="J29" s="206">
        <f t="shared" si="9"/>
        <v>0.33333333333333331</v>
      </c>
      <c r="K29" s="205">
        <f t="shared" si="10"/>
        <v>61</v>
      </c>
      <c r="L29" s="206">
        <f t="shared" si="11"/>
        <v>0.39102564102564102</v>
      </c>
      <c r="O29" s="53" t="s">
        <v>9</v>
      </c>
      <c r="P29" s="65">
        <v>10</v>
      </c>
      <c r="Q29" s="65">
        <v>17</v>
      </c>
      <c r="R29" s="65">
        <v>4</v>
      </c>
      <c r="S29" s="65">
        <v>12</v>
      </c>
      <c r="T29" s="65">
        <v>3</v>
      </c>
      <c r="U29" s="65">
        <v>1</v>
      </c>
      <c r="V29" s="65">
        <v>6</v>
      </c>
      <c r="W29" s="65">
        <v>2</v>
      </c>
      <c r="X29" s="65">
        <v>2</v>
      </c>
      <c r="Y29" s="65">
        <v>0</v>
      </c>
      <c r="Z29" s="65">
        <v>0</v>
      </c>
      <c r="AA29" s="65">
        <v>2</v>
      </c>
      <c r="AB29" s="65">
        <v>0</v>
      </c>
      <c r="AC29" s="65">
        <v>0</v>
      </c>
      <c r="AD29" s="65">
        <v>2</v>
      </c>
      <c r="AE29" s="65">
        <v>0</v>
      </c>
      <c r="AK29" s="53" t="s">
        <v>9</v>
      </c>
    </row>
    <row r="30" spans="2:41" s="21" customFormat="1" ht="18.75" customHeight="1" thickBot="1" x14ac:dyDescent="0.2">
      <c r="B30" s="230" t="s">
        <v>10</v>
      </c>
      <c r="C30" s="208">
        <f>IFERROR(INDEX(年齢階層×在院期間区分F02F09＿寛解・院内寛解[#All],MATCH($AK30,年齢階層×在院期間区分F02F09＿寛解・院内寛解[[#All],[行ラベル]],0),MATCH($AL$4,年齢階層×在院期間区分F02F09＿寛解・院内寛解[#Headers],0)),0)+IFERROR(INDEX(年齢階層×在院期間区分F02F09＿寛解・院内寛解[#All],MATCH($AK30,年齢階層×在院期間区分F02F09＿寛解・院内寛解[[#All],[行ラベル]],0),MATCH($AM$4,年齢階層×在院期間区分F02F09＿寛解・院内寛解[#Headers],0)),0)+IFERROR(INDEX(年齢階層×在院期間区分F02F09＿寛解・院内寛解[#All],MATCH($AK30,年齢階層×在院期間区分F02F09＿寛解・院内寛解[[#All],[行ラベル]],0),MATCH($AN$4,年齢階層×在院期間区分F02F09＿寛解・院内寛解[#Headers],0)),0)+IFERROR(INDEX(年齢階層×在院期間区分F02F09＿寛解・院内寛解[#All],MATCH($AK30,年齢階層×在院期間区分F02F09＿寛解・院内寛解[[#All],[行ラベル]],0),MATCH($AO$4,年齢階層×在院期間区分F02F09＿寛解・院内寛解[#Headers],0)),0)</f>
        <v>12</v>
      </c>
      <c r="D30" s="210">
        <f t="shared" si="6"/>
        <v>0.11881188118811881</v>
      </c>
      <c r="E30" s="208">
        <f>IFERROR(INDEX(年齢階層×在院期間区分F02F09＿寛解・院内寛解[#All],MATCH($AK30,年齢階層×在院期間区分F02F09＿寛解・院内寛解[[#All],[行ラベル]],0),MATCH($AP$4,年齢階層×在院期間区分F02F09＿寛解・院内寛解[#Headers],0)),0)+IFERROR(INDEX(年齢階層×在院期間区分F02F09＿寛解・院内寛解[#All],MATCH($AK30,年齢階層×在院期間区分F02F09＿寛解・院内寛解[[#All],[行ラベル]],0),MATCH($AQ$4,年齢階層×在院期間区分F02F09＿寛解・院内寛解[#Headers],0)),0)+IFERROR(INDEX(年齢階層×在院期間区分F02F09＿寛解・院内寛解[#All],MATCH($AK30,年齢階層×在院期間区分F02F09＿寛解・院内寛解[[#All],[行ラベル]],0),MATCH($AR$4,年齢階層×在院期間区分F02F09＿寛解・院内寛解[#Headers],0)),0)+IFERROR(INDEX(年齢階層×在院期間区分F02F09＿寛解・院内寛解[#All],MATCH($AK30,年齢階層×在院期間区分F02F09＿寛解・院内寛解[[#All],[行ラベル]],0),MATCH($AS$4,年齢階層×在院期間区分F02F09＿寛解・院内寛解[#Headers],0)),0)+IFERROR(INDEX(年齢階層×在院期間区分F02F09＿寛解・院内寛解[#All],MATCH($AK30,年齢階層×在院期間区分F02F09＿寛解・院内寛解[[#All],[行ラベル]],0),MATCH($AT$4,年齢階層×在院期間区分F02F09＿寛解・院内寛解[#Headers],0)),0)</f>
        <v>4</v>
      </c>
      <c r="F30" s="222">
        <f t="shared" si="7"/>
        <v>9.0909090909090912E-2</v>
      </c>
      <c r="G30" s="231">
        <f>IFERROR(INDEX(年齢階層×在院期間区分F02F09＿寛解・院内寛解[#All],MATCH($AK30,年齢階層×在院期間区分F02F09＿寛解・院内寛解[[#All],[行ラベル]],0),MATCH($AU$4,年齢階層×在院期間区分F02F09＿寛解・院内寛解[#Headers],0)),0)+IFERROR(INDEX(年齢階層×在院期間区分F02F09＿寛解・院内寛解[#All],MATCH($AK30,年齢階層×在院期間区分F02F09＿寛解・院内寛解[[#All],[行ラベル]],0),MATCH($AV$4,年齢階層×在院期間区分F02F09＿寛解・院内寛解[#Headers],0)),0)+IFERROR(INDEX(年齢階層×在院期間区分F02F09＿寛解・院内寛解[#All],MATCH($AK30,年齢階層×在院期間区分F02F09＿寛解・院内寛解[[#All],[行ラベル]],0),MATCH($AW$4,年齢階層×在院期間区分F02F09＿寛解・院内寛解[#Headers],0)),0)+IFERROR(INDEX(年齢階層×在院期間区分F02F09＿寛解・院内寛解[#All],MATCH($AK30,年齢階層×在院期間区分F02F09＿寛解・院内寛解[[#All],[行ラベル]],0),MATCH($AX$4,年齢階層×在院期間区分F02F09＿寛解・院内寛解[#Headers],0)),0)+IFERROR(INDEX(年齢階層×在院期間区分F02F09＿寛解・院内寛解[#All],MATCH($AK30,年齢階層×在院期間区分F02F09＿寛解・院内寛解[[#All],[行ラベル]],0),MATCH($AY$4,年齢階層×在院期間区分F02F09＿寛解・院内寛解[#Headers],0)),0)</f>
        <v>0</v>
      </c>
      <c r="H30" s="222">
        <f t="shared" si="8"/>
        <v>0</v>
      </c>
      <c r="I30" s="231">
        <f>IFERROR(INDEX(年齢階層×在院期間区分F02F09＿寛解・院内寛解[#All],MATCH($AK30,年齢階層×在院期間区分F02F09＿寛解・院内寛解[[#All],[行ラベル]],0),MATCH($AZ$4,年齢階層×在院期間区分F02F09＿寛解・院内寛解[#Headers],0)),0)+IFERROR(INDEX(年齢階層×在院期間区分F02F09＿寛解・院内寛解[#All],MATCH($AK30,年齢階層×在院期間区分F02F09＿寛解・院内寛解[[#All],[行ラベル]],0),MATCH($BA$4,年齢階層×在院期間区分F02F09＿寛解・院内寛解[#Headers],0)),0)</f>
        <v>0</v>
      </c>
      <c r="J30" s="222">
        <f t="shared" si="9"/>
        <v>0</v>
      </c>
      <c r="K30" s="208">
        <f t="shared" si="10"/>
        <v>16</v>
      </c>
      <c r="L30" s="210">
        <f t="shared" si="11"/>
        <v>0.10256410256410256</v>
      </c>
      <c r="M30" s="77"/>
      <c r="O30" s="53" t="s">
        <v>10</v>
      </c>
      <c r="P30" s="65">
        <v>3</v>
      </c>
      <c r="Q30" s="65">
        <v>6</v>
      </c>
      <c r="R30" s="65">
        <v>3</v>
      </c>
      <c r="S30" s="65">
        <v>0</v>
      </c>
      <c r="T30" s="65">
        <v>2</v>
      </c>
      <c r="U30" s="65">
        <v>1</v>
      </c>
      <c r="V30" s="65">
        <v>1</v>
      </c>
      <c r="W30" s="65">
        <v>0</v>
      </c>
      <c r="X30" s="65">
        <v>0</v>
      </c>
      <c r="Y30" s="65">
        <v>0</v>
      </c>
      <c r="Z30" s="65">
        <v>0</v>
      </c>
      <c r="AA30" s="65">
        <v>0</v>
      </c>
      <c r="AB30" s="65">
        <v>0</v>
      </c>
      <c r="AC30" s="65">
        <v>0</v>
      </c>
      <c r="AD30" s="65">
        <v>0</v>
      </c>
      <c r="AE30" s="65">
        <v>0</v>
      </c>
      <c r="AK30" s="53" t="s">
        <v>10</v>
      </c>
    </row>
    <row r="31" spans="2:41" s="21" customFormat="1" ht="18.75" customHeight="1" thickTop="1" thickBot="1" x14ac:dyDescent="0.2">
      <c r="B31" s="232" t="s">
        <v>161</v>
      </c>
      <c r="C31" s="233">
        <f>SUM(C22:C30)</f>
        <v>101</v>
      </c>
      <c r="D31" s="242">
        <f t="shared" si="6"/>
        <v>1</v>
      </c>
      <c r="E31" s="233">
        <f>SUM(E22:E30)</f>
        <v>44</v>
      </c>
      <c r="F31" s="234">
        <f t="shared" si="7"/>
        <v>1</v>
      </c>
      <c r="G31" s="233">
        <f>SUM(G22:G30)</f>
        <v>5</v>
      </c>
      <c r="H31" s="243">
        <f t="shared" si="8"/>
        <v>1</v>
      </c>
      <c r="I31" s="233">
        <f>SUM(I22:I30)</f>
        <v>6</v>
      </c>
      <c r="J31" s="243">
        <f t="shared" si="9"/>
        <v>1</v>
      </c>
      <c r="K31" s="233">
        <f>SUM(K22:K30)</f>
        <v>156</v>
      </c>
      <c r="L31" s="240">
        <f t="shared" si="11"/>
        <v>1</v>
      </c>
      <c r="O31" s="425" t="s">
        <v>308</v>
      </c>
      <c r="P31" s="474" t="s">
        <v>182</v>
      </c>
      <c r="Q31" s="489" t="s">
        <v>183</v>
      </c>
      <c r="R31" s="489" t="s">
        <v>184</v>
      </c>
      <c r="S31" s="489" t="s">
        <v>185</v>
      </c>
      <c r="T31" s="489" t="s">
        <v>186</v>
      </c>
      <c r="U31" s="489" t="s">
        <v>187</v>
      </c>
      <c r="V31" s="489" t="s">
        <v>188</v>
      </c>
      <c r="W31" s="489" t="s">
        <v>189</v>
      </c>
      <c r="X31" s="489" t="s">
        <v>190</v>
      </c>
      <c r="Y31" s="489" t="s">
        <v>191</v>
      </c>
      <c r="Z31" s="489" t="s">
        <v>192</v>
      </c>
      <c r="AA31" s="489" t="s">
        <v>193</v>
      </c>
      <c r="AB31" s="489" t="s">
        <v>194</v>
      </c>
      <c r="AC31" s="489" t="s">
        <v>195</v>
      </c>
      <c r="AD31" s="489" t="s">
        <v>196</v>
      </c>
      <c r="AE31" s="55" t="s">
        <v>197</v>
      </c>
      <c r="AF31" s="528"/>
      <c r="AG31" s="83"/>
      <c r="AO31" s="58"/>
    </row>
    <row r="32" spans="2:41" s="21" customFormat="1" ht="18.75" customHeight="1" thickTop="1" x14ac:dyDescent="0.15">
      <c r="B32" s="235" t="s">
        <v>93</v>
      </c>
      <c r="C32" s="236">
        <f>IFERROR(INDEX(年齢階層×在院期間区分F02F09_65歳未満以上＿寛解・院内寛解[#All],MATCH($AK32,年齢階層×在院期間区分F02F09_65歳未満以上＿寛解・院内寛解[[#All],[列1]],0),MATCH($AL$4,年齢階層×在院期間区分F02F09_65歳未満以上＿寛解・院内寛解[#Headers],0)),0)+IFERROR(INDEX(年齢階層×在院期間区分F02F09_65歳未満以上＿寛解・院内寛解[#All],MATCH($AK32,年齢階層×在院期間区分F02F09_65歳未満以上＿寛解・院内寛解[[#All],[列1]],0),MATCH($AM$4,年齢階層×在院期間区分F02F09_65歳未満以上＿寛解・院内寛解[#Headers],0)),0)+IFERROR(INDEX(年齢階層×在院期間区分F02F09_65歳未満以上＿寛解・院内寛解[#All],MATCH($AK32,年齢階層×在院期間区分F02F09_65歳未満以上＿寛解・院内寛解[[#All],[列1]],0),MATCH($AN$4,年齢階層×在院期間区分F02F09_65歳未満以上＿寛解・院内寛解[#Headers],0)),0)+IFERROR(INDEX(年齢階層×在院期間区分F02F09_65歳未満以上＿寛解・院内寛解[#All],MATCH($AK32,年齢階層×在院期間区分F02F09_65歳未満以上＿寛解・院内寛解[[#All],[列1]],0),MATCH($AO$4,年齢階層×在院期間区分F02F09_65歳未満以上＿寛解・院内寛解[#Headers],0)),0)</f>
        <v>18</v>
      </c>
      <c r="D32" s="207">
        <f t="shared" si="6"/>
        <v>0.17821782178217821</v>
      </c>
      <c r="E32" s="236">
        <f>IFERROR(INDEX(年齢階層×在院期間区分F02F09_65歳未満以上＿寛解・院内寛解[#All],MATCH($AK32,年齢階層×在院期間区分F02F09_65歳未満以上＿寛解・院内寛解[[#All],[列1]],0),MATCH($AP$4,年齢階層×在院期間区分F02F09_65歳未満以上＿寛解・院内寛解[#Headers],0)),0)+IFERROR(INDEX(年齢階層×在院期間区分F02F09_65歳未満以上＿寛解・院内寛解[#All],MATCH($AK32,年齢階層×在院期間区分F02F09_65歳未満以上＿寛解・院内寛解[[#All],[列1]],0),MATCH($AQ$4,年齢階層×在院期間区分F02F09_65歳未満以上＿寛解・院内寛解[#Headers],0)),0)+IFERROR(INDEX(年齢階層×在院期間区分F02F09_65歳未満以上＿寛解・院内寛解[#All],MATCH($AK32,年齢階層×在院期間区分F02F09_65歳未満以上＿寛解・院内寛解[[#All],[列1]],0),MATCH($AR$4,年齢階層×在院期間区分F02F09_65歳未満以上＿寛解・院内寛解[#Headers],0)),0)+IFERROR(INDEX(年齢階層×在院期間区分F02F09_65歳未満以上＿寛解・院内寛解[#All],MATCH($AK32,年齢階層×在院期間区分F02F09_65歳未満以上＿寛解・院内寛解[[#All],[列1]],0),MATCH($AS$4,年齢階層×在院期間区分F02F09_65歳未満以上＿寛解・院内寛解[#Headers],0)),0)+IFERROR(INDEX(年齢階層×在院期間区分F02F09_65歳未満以上＿寛解・院内寛解[#All],MATCH($AK32,年齢階層×在院期間区分F02F09_65歳未満以上＿寛解・院内寛解[[#All],[列1]],0),MATCH($AT$4,年齢階層×在院期間区分F02F09_65歳未満以上＿寛解・院内寛解[#Headers],0)),0)</f>
        <v>8</v>
      </c>
      <c r="F32" s="238">
        <f t="shared" si="7"/>
        <v>0.18181818181818182</v>
      </c>
      <c r="G32" s="236">
        <f>IFERROR(INDEX(年齢階層×在院期間区分F02F09_65歳未満以上＿寛解・院内寛解[#All],MATCH($AK32,年齢階層×在院期間区分F02F09_65歳未満以上＿寛解・院内寛解[[#All],[列1]],0),MATCH($AU$4,年齢階層×在院期間区分F02F09_65歳未満以上＿寛解・院内寛解[#Headers],0)),0)+IFERROR(INDEX(年齢階層×在院期間区分F02F09_65歳未満以上＿寛解・院内寛解[#All],MATCH($AK32,年齢階層×在院期間区分F02F09_65歳未満以上＿寛解・院内寛解[[#All],[列1]],0),MATCH($AV$4,年齢階層×在院期間区分F02F09_65歳未満以上＿寛解・院内寛解[#Headers],0)),0)+IFERROR(INDEX(年齢階層×在院期間区分F02F09_65歳未満以上＿寛解・院内寛解[#All],MATCH($AK32,年齢階層×在院期間区分F02F09_65歳未満以上＿寛解・院内寛解[[#All],[列1]],0),MATCH($AW$4,年齢階層×在院期間区分F02F09_65歳未満以上＿寛解・院内寛解[#Headers],0)),0)+IFERROR(INDEX(年齢階層×在院期間区分F02F09_65歳未満以上＿寛解・院内寛解[#All],MATCH($AK32,年齢階層×在院期間区分F02F09_65歳未満以上＿寛解・院内寛解[[#All],[列1]],0),MATCH($AX$4,年齢階層×在院期間区分F02F09_65歳未満以上＿寛解・院内寛解[#Headers],0)),0)+IFERROR(INDEX(年齢階層×在院期間区分F02F09_65歳未満以上＿寛解・院内寛解[#All],MATCH($AK32,年齢階層×在院期間区分F02F09_65歳未満以上＿寛解・院内寛解[[#All],[列1]],0),MATCH($AY$4,年齢階層×在院期間区分F02F09_65歳未満以上＿寛解・院内寛解[#Headers],0)),0)</f>
        <v>1</v>
      </c>
      <c r="H32" s="238">
        <f t="shared" si="8"/>
        <v>0.2</v>
      </c>
      <c r="I32" s="236">
        <f>IFERROR(INDEX(年齢階層×在院期間区分F02F09_65歳未満以上＿寛解・院内寛解[#All],MATCH($AK32,年齢階層×在院期間区分F02F09_65歳未満以上＿寛解・院内寛解[[#All],[列1]],0),MATCH($AZ$4,年齢階層×在院期間区分F02F09_65歳未満以上＿寛解・院内寛解[#Headers],0)),0)+IFERROR(INDEX(年齢階層×在院期間区分F02F09_65歳未満以上＿寛解・院内寛解[#All],MATCH($AK32,年齢階層×在院期間区分F02F09_65歳未満以上＿寛解・院内寛解[[#All],[列1]],0),MATCH($BA$4,年齢階層×在院期間区分F02F09_65歳未満以上＿寛解・院内寛解[#Headers],0)),0)</f>
        <v>1</v>
      </c>
      <c r="J32" s="221">
        <f t="shared" si="9"/>
        <v>0.16666666666666666</v>
      </c>
      <c r="K32" s="236">
        <f>C32+E32+G32+I32</f>
        <v>28</v>
      </c>
      <c r="L32" s="221">
        <f t="shared" si="11"/>
        <v>0.17948717948717949</v>
      </c>
      <c r="O32" s="82" t="s">
        <v>306</v>
      </c>
      <c r="P32" s="65">
        <v>3</v>
      </c>
      <c r="Q32" s="65">
        <v>8</v>
      </c>
      <c r="R32" s="65">
        <v>5</v>
      </c>
      <c r="S32" s="65">
        <v>2</v>
      </c>
      <c r="T32" s="65">
        <v>2</v>
      </c>
      <c r="U32" s="65">
        <v>4</v>
      </c>
      <c r="V32" s="65">
        <v>1</v>
      </c>
      <c r="W32" s="65">
        <v>0</v>
      </c>
      <c r="X32" s="65">
        <v>1</v>
      </c>
      <c r="Y32" s="65">
        <v>0</v>
      </c>
      <c r="Z32" s="65">
        <v>0</v>
      </c>
      <c r="AA32" s="65">
        <v>0</v>
      </c>
      <c r="AB32" s="65">
        <v>0</v>
      </c>
      <c r="AC32" s="65">
        <v>1</v>
      </c>
      <c r="AD32" s="65">
        <v>1</v>
      </c>
      <c r="AE32" s="527">
        <v>0</v>
      </c>
      <c r="AF32" s="529"/>
      <c r="AG32" s="8"/>
      <c r="AK32" s="82" t="s">
        <v>156</v>
      </c>
    </row>
    <row r="33" spans="2:49" ht="18.75" customHeight="1" x14ac:dyDescent="0.15">
      <c r="B33" s="237" t="s">
        <v>89</v>
      </c>
      <c r="C33" s="236">
        <f>IFERROR(INDEX(年齢階層×在院期間区分F02F09_65歳未満以上＿寛解・院内寛解[#All],MATCH($AK33,年齢階層×在院期間区分F02F09_65歳未満以上＿寛解・院内寛解[[#All],[列1]],0),MATCH($AL$4,年齢階層×在院期間区分F02F09_65歳未満以上＿寛解・院内寛解[#Headers],0)),0)+IFERROR(INDEX(年齢階層×在院期間区分F02F09_65歳未満以上＿寛解・院内寛解[#All],MATCH($AK33,年齢階層×在院期間区分F02F09_65歳未満以上＿寛解・院内寛解[[#All],[列1]],0),MATCH($AM$4,年齢階層×在院期間区分F02F09_65歳未満以上＿寛解・院内寛解[#Headers],0)),0)+IFERROR(INDEX(年齢階層×在院期間区分F02F09_65歳未満以上＿寛解・院内寛解[#All],MATCH($AK33,年齢階層×在院期間区分F02F09_65歳未満以上＿寛解・院内寛解[[#All],[列1]],0),MATCH($AN$4,年齢階層×在院期間区分F02F09_65歳未満以上＿寛解・院内寛解[#Headers],0)),0)+IFERROR(INDEX(年齢階層×在院期間区分F02F09_65歳未満以上＿寛解・院内寛解[#All],MATCH($AK33,年齢階層×在院期間区分F02F09_65歳未満以上＿寛解・院内寛解[[#All],[列1]],0),MATCH($AO$4,年齢階層×在院期間区分F02F09_65歳未満以上＿寛解・院内寛解[#Headers],0)),0)</f>
        <v>83</v>
      </c>
      <c r="D33" s="238">
        <f t="shared" si="6"/>
        <v>0.82178217821782173</v>
      </c>
      <c r="E33" s="236">
        <f>IFERROR(INDEX(年齢階層×在院期間区分F02F09_65歳未満以上＿寛解・院内寛解[#All],MATCH($AK33,年齢階層×在院期間区分F02F09_65歳未満以上＿寛解・院内寛解[[#All],[列1]],0),MATCH($AP$4,年齢階層×在院期間区分F02F09_65歳未満以上＿寛解・院内寛解[#Headers],0)),0)+IFERROR(INDEX(年齢階層×在院期間区分F02F09_65歳未満以上＿寛解・院内寛解[#All],MATCH($AK33,年齢階層×在院期間区分F02F09_65歳未満以上＿寛解・院内寛解[[#All],[列1]],0),MATCH($AQ$4,年齢階層×在院期間区分F02F09_65歳未満以上＿寛解・院内寛解[#Headers],0)),0)+IFERROR(INDEX(年齢階層×在院期間区分F02F09_65歳未満以上＿寛解・院内寛解[#All],MATCH($AK33,年齢階層×在院期間区分F02F09_65歳未満以上＿寛解・院内寛解[[#All],[列1]],0),MATCH($AR$4,年齢階層×在院期間区分F02F09_65歳未満以上＿寛解・院内寛解[#Headers],0)),0)+IFERROR(INDEX(年齢階層×在院期間区分F02F09_65歳未満以上＿寛解・院内寛解[#All],MATCH($AK33,年齢階層×在院期間区分F02F09_65歳未満以上＿寛解・院内寛解[[#All],[列1]],0),MATCH($AS$4,年齢階層×在院期間区分F02F09_65歳未満以上＿寛解・院内寛解[#Headers],0)),0)+IFERROR(INDEX(年齢階層×在院期間区分F02F09_65歳未満以上＿寛解・院内寛解[#All],MATCH($AK33,年齢階層×在院期間区分F02F09_65歳未満以上＿寛解・院内寛解[[#All],[列1]],0),MATCH($AT$4,年齢階層×在院期間区分F02F09_65歳未満以上＿寛解・院内寛解[#Headers],0)),0)</f>
        <v>36</v>
      </c>
      <c r="F33" s="238">
        <f t="shared" si="7"/>
        <v>0.81818181818181823</v>
      </c>
      <c r="G33" s="236">
        <f>IFERROR(INDEX(年齢階層×在院期間区分F02F09_65歳未満以上＿寛解・院内寛解[#All],MATCH($AK33,年齢階層×在院期間区分F02F09_65歳未満以上＿寛解・院内寛解[[#All],[列1]],0),MATCH($AU$4,年齢階層×在院期間区分F02F09_65歳未満以上＿寛解・院内寛解[#Headers],0)),0)+IFERROR(INDEX(年齢階層×在院期間区分F02F09_65歳未満以上＿寛解・院内寛解[#All],MATCH($AK33,年齢階層×在院期間区分F02F09_65歳未満以上＿寛解・院内寛解[[#All],[列1]],0),MATCH($AV$4,年齢階層×在院期間区分F02F09_65歳未満以上＿寛解・院内寛解[#Headers],0)),0)+IFERROR(INDEX(年齢階層×在院期間区分F02F09_65歳未満以上＿寛解・院内寛解[#All],MATCH($AK33,年齢階層×在院期間区分F02F09_65歳未満以上＿寛解・院内寛解[[#All],[列1]],0),MATCH($AW$4,年齢階層×在院期間区分F02F09_65歳未満以上＿寛解・院内寛解[#Headers],0)),0)+IFERROR(INDEX(年齢階層×在院期間区分F02F09_65歳未満以上＿寛解・院内寛解[#All],MATCH($AK33,年齢階層×在院期間区分F02F09_65歳未満以上＿寛解・院内寛解[[#All],[列1]],0),MATCH($AX$4,年齢階層×在院期間区分F02F09_65歳未満以上＿寛解・院内寛解[#Headers],0)),0)+IFERROR(INDEX(年齢階層×在院期間区分F02F09_65歳未満以上＿寛解・院内寛解[#All],MATCH($AK33,年齢階層×在院期間区分F02F09_65歳未満以上＿寛解・院内寛解[[#All],[列1]],0),MATCH($AY$4,年齢階層×在院期間区分F02F09_65歳未満以上＿寛解・院内寛解[#Headers],0)),0)</f>
        <v>4</v>
      </c>
      <c r="H33" s="238">
        <f t="shared" si="8"/>
        <v>0.8</v>
      </c>
      <c r="I33" s="236">
        <f>IFERROR(INDEX(年齢階層×在院期間区分F02F09_65歳未満以上＿寛解・院内寛解[#All],MATCH($AK33,年齢階層×在院期間区分F02F09_65歳未満以上＿寛解・院内寛解[[#All],[列1]],0),MATCH($AZ$4,年齢階層×在院期間区分F02F09_65歳未満以上＿寛解・院内寛解[#Headers],0)),0)+IFERROR(INDEX(年齢階層×在院期間区分F02F09_65歳未満以上＿寛解・院内寛解[#All],MATCH($AK33,年齢階層×在院期間区分F02F09_65歳未満以上＿寛解・院内寛解[[#All],[列1]],0),MATCH($BA$4,年齢階層×在院期間区分F02F09_65歳未満以上＿寛解・院内寛解[#Headers],0)),0)</f>
        <v>5</v>
      </c>
      <c r="J33" s="238">
        <f t="shared" si="9"/>
        <v>0.83333333333333337</v>
      </c>
      <c r="K33" s="236">
        <f>C33+E33+G33+I33</f>
        <v>128</v>
      </c>
      <c r="L33" s="238">
        <f t="shared" si="11"/>
        <v>0.82051282051282048</v>
      </c>
      <c r="O33" s="82" t="s">
        <v>307</v>
      </c>
      <c r="P33" s="65">
        <v>19</v>
      </c>
      <c r="Q33" s="65">
        <v>31</v>
      </c>
      <c r="R33" s="65">
        <v>14</v>
      </c>
      <c r="S33" s="65">
        <v>19</v>
      </c>
      <c r="T33" s="65">
        <v>9</v>
      </c>
      <c r="U33" s="65">
        <v>6</v>
      </c>
      <c r="V33" s="65">
        <v>11</v>
      </c>
      <c r="W33" s="65">
        <v>5</v>
      </c>
      <c r="X33" s="65">
        <v>5</v>
      </c>
      <c r="Y33" s="65">
        <v>1</v>
      </c>
      <c r="Z33" s="65">
        <v>1</v>
      </c>
      <c r="AA33" s="65">
        <v>2</v>
      </c>
      <c r="AB33" s="65">
        <v>0</v>
      </c>
      <c r="AC33" s="65">
        <v>0</v>
      </c>
      <c r="AD33" s="65">
        <v>5</v>
      </c>
      <c r="AE33" s="527">
        <v>0</v>
      </c>
      <c r="AF33" s="529"/>
      <c r="AG33" s="8"/>
      <c r="AK33" s="82" t="s">
        <v>88</v>
      </c>
    </row>
    <row r="35" spans="2:49" x14ac:dyDescent="0.15">
      <c r="C35" s="52"/>
      <c r="D35" s="61"/>
      <c r="E35" s="61"/>
      <c r="F35" s="61"/>
      <c r="G35" s="61"/>
      <c r="H35" s="61"/>
      <c r="I35" s="61"/>
      <c r="J35" s="61"/>
      <c r="K35" s="61"/>
      <c r="L35" s="61"/>
      <c r="M35" s="61"/>
      <c r="N35" s="61"/>
      <c r="O35" s="61"/>
      <c r="P35" s="61"/>
      <c r="Q35" s="61"/>
      <c r="R35" s="83"/>
    </row>
    <row r="36" spans="2:49" x14ac:dyDescent="0.15">
      <c r="B36" s="37"/>
      <c r="C36" s="22"/>
      <c r="D36" s="22"/>
      <c r="E36" s="22"/>
      <c r="F36" s="22"/>
      <c r="G36" s="22"/>
      <c r="H36" s="22"/>
      <c r="I36" s="22"/>
      <c r="J36" s="22"/>
      <c r="K36" s="22"/>
      <c r="L36" s="22"/>
      <c r="M36" s="22"/>
      <c r="N36" s="22"/>
      <c r="O36" s="22"/>
      <c r="P36" s="22"/>
      <c r="Q36" s="22"/>
      <c r="R36" s="22"/>
      <c r="S36" s="22"/>
      <c r="AG36" s="33"/>
    </row>
    <row r="37" spans="2:49" x14ac:dyDescent="0.15">
      <c r="B37" s="37"/>
      <c r="C37" s="22"/>
      <c r="D37" s="22"/>
      <c r="E37" s="22"/>
      <c r="F37" s="22"/>
      <c r="G37" s="22"/>
      <c r="H37" s="22"/>
      <c r="I37" s="22"/>
      <c r="J37" s="22"/>
      <c r="K37" s="22"/>
      <c r="L37" s="22"/>
      <c r="M37" s="22"/>
      <c r="N37" s="22"/>
      <c r="O37" s="22"/>
      <c r="P37" s="22"/>
      <c r="Q37" s="22"/>
      <c r="R37" s="22"/>
      <c r="S37" s="22"/>
      <c r="AG37" s="53"/>
    </row>
    <row r="38" spans="2:49" x14ac:dyDescent="0.15">
      <c r="B38" s="49"/>
      <c r="C38" s="84"/>
      <c r="D38" s="84"/>
      <c r="E38" s="84"/>
      <c r="F38" s="84"/>
      <c r="G38" s="84"/>
      <c r="H38" s="84"/>
      <c r="I38" s="84"/>
      <c r="J38" s="84"/>
      <c r="K38" s="84"/>
      <c r="L38" s="84"/>
      <c r="M38" s="84"/>
      <c r="N38" s="84"/>
      <c r="O38" s="84"/>
      <c r="P38" s="84"/>
      <c r="Q38" s="84"/>
      <c r="R38" s="84"/>
      <c r="S38" s="84"/>
      <c r="T38" s="21"/>
      <c r="U38" s="21"/>
      <c r="V38" s="21"/>
      <c r="W38" s="21"/>
      <c r="X38" s="21"/>
      <c r="Y38" s="21"/>
      <c r="Z38" s="21"/>
      <c r="AA38" s="21"/>
      <c r="AB38" s="21"/>
      <c r="AC38" s="21"/>
      <c r="AD38" s="21"/>
      <c r="AE38" s="21"/>
      <c r="AF38" s="21"/>
      <c r="AG38" s="53"/>
      <c r="AH38" s="21"/>
      <c r="AI38" s="21"/>
      <c r="AJ38" s="21"/>
      <c r="AK38" s="21"/>
      <c r="AL38" s="21"/>
      <c r="AM38" s="21"/>
      <c r="AN38" s="21"/>
      <c r="AO38" s="21"/>
      <c r="AP38" s="21"/>
      <c r="AQ38" s="21"/>
      <c r="AR38" s="21"/>
      <c r="AS38" s="21"/>
      <c r="AT38" s="21"/>
      <c r="AU38" s="21"/>
      <c r="AV38" s="21"/>
      <c r="AW38" s="21"/>
    </row>
    <row r="39" spans="2:49" ht="35.25" customHeight="1" x14ac:dyDescent="0.15">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53"/>
      <c r="AH39" s="21"/>
      <c r="AI39" s="21"/>
      <c r="AJ39" s="21"/>
      <c r="AK39" s="21"/>
      <c r="AL39" s="21"/>
      <c r="AM39" s="21"/>
      <c r="AN39" s="21"/>
      <c r="AO39" s="21"/>
      <c r="AP39" s="21"/>
      <c r="AQ39" s="21"/>
      <c r="AR39" s="21"/>
      <c r="AS39" s="21"/>
      <c r="AT39" s="21"/>
      <c r="AU39" s="21"/>
      <c r="AV39" s="21"/>
      <c r="AW39" s="21"/>
    </row>
    <row r="40" spans="2:49" x14ac:dyDescent="0.15">
      <c r="B40" s="7"/>
      <c r="C40" s="85"/>
      <c r="D40" s="85"/>
      <c r="E40" s="85"/>
      <c r="F40" s="85"/>
      <c r="G40" s="85"/>
      <c r="H40" s="85"/>
      <c r="I40" s="85"/>
      <c r="J40" s="85"/>
      <c r="K40" s="85"/>
      <c r="L40" s="85"/>
      <c r="M40" s="85"/>
      <c r="N40" s="85"/>
      <c r="O40" s="85"/>
      <c r="P40" s="85"/>
      <c r="Q40" s="85"/>
      <c r="R40" s="85"/>
      <c r="S40" s="85"/>
      <c r="T40" s="21"/>
      <c r="U40" s="21"/>
      <c r="V40" s="21"/>
      <c r="W40" s="21"/>
      <c r="X40" s="21"/>
      <c r="Y40" s="21"/>
      <c r="Z40" s="21"/>
      <c r="AA40" s="21"/>
      <c r="AB40" s="21"/>
      <c r="AC40" s="21"/>
      <c r="AD40" s="21"/>
      <c r="AE40" s="21"/>
      <c r="AF40" s="21"/>
      <c r="AG40" s="53"/>
      <c r="AH40" s="21"/>
      <c r="AI40" s="21"/>
      <c r="AJ40" s="21"/>
      <c r="AK40" s="21"/>
      <c r="AL40" s="21"/>
      <c r="AM40" s="21"/>
      <c r="AN40" s="21"/>
      <c r="AO40" s="21"/>
      <c r="AP40" s="21"/>
      <c r="AQ40" s="21"/>
      <c r="AR40" s="21"/>
      <c r="AS40" s="21"/>
      <c r="AT40" s="21"/>
      <c r="AU40" s="21"/>
      <c r="AV40" s="21"/>
      <c r="AW40" s="21"/>
    </row>
    <row r="41" spans="2:49" x14ac:dyDescent="0.15">
      <c r="B41" s="7"/>
      <c r="C41" s="85"/>
      <c r="D41" s="85"/>
      <c r="E41" s="85"/>
      <c r="F41" s="85"/>
      <c r="G41" s="85"/>
      <c r="H41" s="85"/>
      <c r="I41" s="85"/>
      <c r="J41" s="85"/>
      <c r="K41" s="85"/>
      <c r="L41" s="85"/>
      <c r="M41" s="85"/>
      <c r="N41" s="85"/>
      <c r="O41" s="85"/>
      <c r="P41" s="85"/>
      <c r="Q41" s="85"/>
      <c r="R41" s="85"/>
      <c r="S41" s="85"/>
      <c r="T41" s="21"/>
      <c r="U41" s="21"/>
      <c r="V41" s="21"/>
      <c r="W41" s="21"/>
      <c r="X41" s="21"/>
      <c r="Y41" s="21"/>
      <c r="Z41" s="21"/>
      <c r="AA41" s="21"/>
      <c r="AB41" s="21"/>
      <c r="AC41" s="21"/>
      <c r="AD41" s="21"/>
      <c r="AE41" s="21"/>
      <c r="AF41" s="21"/>
      <c r="AG41" s="53"/>
      <c r="AH41" s="21"/>
      <c r="AI41" s="21"/>
      <c r="AJ41" s="21"/>
      <c r="AK41" s="21"/>
      <c r="AL41" s="21"/>
      <c r="AM41" s="21"/>
      <c r="AN41" s="21"/>
      <c r="AO41" s="21"/>
      <c r="AP41" s="21"/>
      <c r="AQ41" s="21"/>
      <c r="AR41" s="21"/>
      <c r="AS41" s="21"/>
      <c r="AT41" s="21"/>
      <c r="AU41" s="21"/>
      <c r="AV41" s="21"/>
      <c r="AW41" s="21"/>
    </row>
    <row r="42" spans="2:49" x14ac:dyDescent="0.15">
      <c r="B42" s="7"/>
      <c r="C42" s="85"/>
      <c r="D42" s="85"/>
      <c r="E42" s="85"/>
      <c r="F42" s="85"/>
      <c r="G42" s="85"/>
      <c r="H42" s="85"/>
      <c r="I42" s="85"/>
      <c r="J42" s="85"/>
      <c r="K42" s="85"/>
      <c r="L42" s="85"/>
      <c r="M42" s="85"/>
      <c r="N42" s="85"/>
      <c r="O42" s="85"/>
      <c r="P42" s="85"/>
      <c r="Q42" s="85"/>
      <c r="R42" s="85"/>
      <c r="S42" s="85"/>
      <c r="T42" s="21"/>
      <c r="U42" s="21"/>
      <c r="V42" s="21"/>
      <c r="W42" s="21"/>
      <c r="X42" s="21"/>
      <c r="Y42" s="21"/>
      <c r="Z42" s="21"/>
      <c r="AA42" s="21"/>
      <c r="AB42" s="21"/>
      <c r="AC42" s="21"/>
      <c r="AD42" s="21"/>
      <c r="AE42" s="21"/>
      <c r="AF42" s="21"/>
      <c r="AG42" s="53"/>
      <c r="AH42" s="21"/>
      <c r="AI42" s="21"/>
      <c r="AJ42" s="21"/>
      <c r="AK42" s="21"/>
      <c r="AL42" s="21"/>
      <c r="AM42" s="21"/>
      <c r="AN42" s="21"/>
      <c r="AO42" s="21"/>
      <c r="AP42" s="21"/>
      <c r="AQ42" s="21"/>
      <c r="AR42" s="21"/>
      <c r="AS42" s="21"/>
      <c r="AT42" s="21"/>
      <c r="AU42" s="21"/>
      <c r="AV42" s="21"/>
      <c r="AW42" s="21"/>
    </row>
    <row r="43" spans="2:49" x14ac:dyDescent="0.15">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53"/>
      <c r="AH43" s="21"/>
      <c r="AI43" s="21"/>
      <c r="AJ43" s="21"/>
      <c r="AK43" s="21"/>
      <c r="AL43" s="21"/>
      <c r="AM43" s="21"/>
      <c r="AN43" s="21"/>
      <c r="AO43" s="21"/>
      <c r="AP43" s="21"/>
      <c r="AQ43" s="21"/>
      <c r="AR43" s="21"/>
      <c r="AS43" s="21"/>
      <c r="AT43" s="21"/>
      <c r="AU43" s="21"/>
      <c r="AV43" s="21"/>
      <c r="AW43" s="21"/>
    </row>
    <row r="44" spans="2:49" x14ac:dyDescent="0.15">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53"/>
      <c r="AH44" s="21"/>
      <c r="AI44" s="21"/>
      <c r="AJ44" s="21"/>
      <c r="AK44" s="21"/>
      <c r="AL44" s="21"/>
      <c r="AM44" s="21"/>
      <c r="AN44" s="21"/>
      <c r="AO44" s="21"/>
      <c r="AP44" s="21"/>
      <c r="AQ44" s="21"/>
      <c r="AR44" s="21"/>
      <c r="AS44" s="21"/>
      <c r="AT44" s="21"/>
      <c r="AU44" s="21"/>
      <c r="AV44" s="21"/>
      <c r="AW44" s="21"/>
    </row>
    <row r="45" spans="2:49" x14ac:dyDescent="0.15">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53"/>
      <c r="AH45" s="21"/>
      <c r="AI45" s="21"/>
      <c r="AJ45" s="21"/>
      <c r="AK45" s="21"/>
      <c r="AL45" s="21"/>
      <c r="AM45" s="21"/>
      <c r="AN45" s="21"/>
      <c r="AO45" s="21"/>
      <c r="AP45" s="21"/>
      <c r="AQ45" s="21"/>
      <c r="AR45" s="21"/>
      <c r="AS45" s="21"/>
      <c r="AT45" s="21"/>
      <c r="AU45" s="21"/>
      <c r="AV45" s="21"/>
      <c r="AW45" s="21"/>
    </row>
    <row r="46" spans="2:49" x14ac:dyDescent="0.15">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row>
    <row r="47" spans="2:49" x14ac:dyDescent="0.15">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82"/>
      <c r="AH47" s="21"/>
      <c r="AI47" s="21"/>
      <c r="AJ47" s="21"/>
      <c r="AK47" s="21"/>
      <c r="AL47" s="21"/>
      <c r="AM47" s="21"/>
      <c r="AN47" s="21"/>
      <c r="AO47" s="21"/>
      <c r="AP47" s="21"/>
      <c r="AQ47" s="21"/>
      <c r="AR47" s="21"/>
      <c r="AS47" s="21"/>
      <c r="AT47" s="21"/>
      <c r="AU47" s="21"/>
      <c r="AV47" s="21"/>
      <c r="AW47" s="21"/>
    </row>
    <row r="48" spans="2:49" x14ac:dyDescent="0.15">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82"/>
      <c r="AH48" s="21"/>
      <c r="AI48" s="21"/>
      <c r="AJ48" s="21"/>
      <c r="AK48" s="21"/>
      <c r="AL48" s="21"/>
      <c r="AM48" s="21"/>
      <c r="AN48" s="21"/>
      <c r="AO48" s="21"/>
      <c r="AP48" s="21"/>
      <c r="AQ48" s="21"/>
      <c r="AR48" s="21"/>
      <c r="AS48" s="21"/>
      <c r="AT48" s="21"/>
      <c r="AU48" s="21"/>
      <c r="AV48" s="21"/>
      <c r="AW48" s="21"/>
    </row>
    <row r="49" spans="2:49" x14ac:dyDescent="0.15">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row>
    <row r="50" spans="2:49" x14ac:dyDescent="0.15">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row>
    <row r="51" spans="2:49" x14ac:dyDescent="0.15">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row>
    <row r="52" spans="2:49" x14ac:dyDescent="0.15">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row>
    <row r="53" spans="2:49" x14ac:dyDescent="0.15">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row>
    <row r="54" spans="2:49" x14ac:dyDescent="0.15">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row>
    <row r="55" spans="2:49" x14ac:dyDescent="0.15">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row>
    <row r="56" spans="2:49" x14ac:dyDescent="0.15">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row>
    <row r="57" spans="2:49" x14ac:dyDescent="0.15">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row>
    <row r="58" spans="2:49" x14ac:dyDescent="0.15">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row>
    <row r="59" spans="2:49" x14ac:dyDescent="0.15">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row>
    <row r="60" spans="2:49" x14ac:dyDescent="0.15">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row>
    <row r="61" spans="2:49" x14ac:dyDescent="0.15">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row>
    <row r="62" spans="2:49" x14ac:dyDescent="0.15">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row>
    <row r="63" spans="2:49" x14ac:dyDescent="0.15">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row>
    <row r="64" spans="2:49" x14ac:dyDescent="0.15">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row>
    <row r="65" spans="2:49" x14ac:dyDescent="0.15">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row>
    <row r="66" spans="2:49" x14ac:dyDescent="0.15">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row>
    <row r="67" spans="2:49" x14ac:dyDescent="0.15">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row>
    <row r="68" spans="2:49" x14ac:dyDescent="0.15">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row>
    <row r="69" spans="2:49" x14ac:dyDescent="0.15">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row>
    <row r="70" spans="2:49" x14ac:dyDescent="0.15">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row>
    <row r="71" spans="2:49" x14ac:dyDescent="0.15">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row>
    <row r="72" spans="2:49" x14ac:dyDescent="0.15">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row>
    <row r="73" spans="2:49" x14ac:dyDescent="0.15">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row>
    <row r="74" spans="2:49" x14ac:dyDescent="0.15">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row>
    <row r="75" spans="2:49" x14ac:dyDescent="0.15">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row>
    <row r="76" spans="2:49" x14ac:dyDescent="0.15">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row>
    <row r="77" spans="2:49" x14ac:dyDescent="0.15">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row>
    <row r="78" spans="2:49" x14ac:dyDescent="0.15">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row>
    <row r="79" spans="2:49" x14ac:dyDescent="0.15">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row>
    <row r="80" spans="2:49" x14ac:dyDescent="0.15">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row>
    <row r="81" spans="2:49" x14ac:dyDescent="0.15">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row>
    <row r="82" spans="2:49" x14ac:dyDescent="0.15">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row>
    <row r="83" spans="2:49" x14ac:dyDescent="0.15">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row>
    <row r="84" spans="2:49" x14ac:dyDescent="0.15">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row>
    <row r="85" spans="2:49" x14ac:dyDescent="0.15">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row>
    <row r="86" spans="2:49" x14ac:dyDescent="0.15">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row>
    <row r="87" spans="2:49" x14ac:dyDescent="0.15">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row>
    <row r="88" spans="2:49" x14ac:dyDescent="0.15">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row>
    <row r="89" spans="2:49" x14ac:dyDescent="0.15">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row>
    <row r="90" spans="2:49" x14ac:dyDescent="0.15">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row>
    <row r="91" spans="2:49" x14ac:dyDescent="0.15">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row>
    <row r="92" spans="2:49" x14ac:dyDescent="0.15">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row>
    <row r="93" spans="2:49" x14ac:dyDescent="0.15">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row>
    <row r="94" spans="2:49" x14ac:dyDescent="0.15">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row>
    <row r="95" spans="2:49" x14ac:dyDescent="0.15">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row>
    <row r="96" spans="2:49" x14ac:dyDescent="0.15">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row>
    <row r="97" spans="2:49" x14ac:dyDescent="0.15">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row>
    <row r="98" spans="2:49" x14ac:dyDescent="0.15">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row>
    <row r="99" spans="2:49" x14ac:dyDescent="0.15">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row>
    <row r="100" spans="2:49" x14ac:dyDescent="0.15">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row>
    <row r="101" spans="2:49" x14ac:dyDescent="0.15">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row>
    <row r="102" spans="2:49" x14ac:dyDescent="0.15">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row>
    <row r="103" spans="2:49" x14ac:dyDescent="0.15">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row>
    <row r="104" spans="2:49" x14ac:dyDescent="0.15">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row>
    <row r="105" spans="2:49" x14ac:dyDescent="0.15">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row>
    <row r="106" spans="2:49" x14ac:dyDescent="0.15">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row>
    <row r="107" spans="2:49" x14ac:dyDescent="0.15">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row>
    <row r="108" spans="2:49" x14ac:dyDescent="0.15">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row>
    <row r="109" spans="2:49" x14ac:dyDescent="0.15">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row>
    <row r="110" spans="2:49" x14ac:dyDescent="0.15">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row>
    <row r="111" spans="2:49" x14ac:dyDescent="0.15">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row>
    <row r="112" spans="2:49" x14ac:dyDescent="0.15">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row>
    <row r="113" spans="2:49" x14ac:dyDescent="0.15">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row>
    <row r="114" spans="2:49" x14ac:dyDescent="0.15">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row>
    <row r="115" spans="2:49" x14ac:dyDescent="0.15">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row>
    <row r="116" spans="2:49" x14ac:dyDescent="0.15">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row>
    <row r="117" spans="2:49" x14ac:dyDescent="0.15">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row>
    <row r="118" spans="2:49" x14ac:dyDescent="0.15">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row>
    <row r="119" spans="2:49" x14ac:dyDescent="0.15">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row>
    <row r="120" spans="2:49" x14ac:dyDescent="0.15">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row>
    <row r="121" spans="2:49" x14ac:dyDescent="0.15">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row>
    <row r="122" spans="2:49" x14ac:dyDescent="0.15">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row>
    <row r="123" spans="2:49" x14ac:dyDescent="0.15">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row>
    <row r="124" spans="2:49" x14ac:dyDescent="0.15">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row>
    <row r="125" spans="2:49" x14ac:dyDescent="0.15">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row>
    <row r="126" spans="2:49" x14ac:dyDescent="0.15">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row>
    <row r="127" spans="2:49" x14ac:dyDescent="0.15">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row>
    <row r="128" spans="2:49" x14ac:dyDescent="0.15">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row>
    <row r="129" spans="2:49" x14ac:dyDescent="0.15">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c r="AP129" s="21"/>
      <c r="AQ129" s="21"/>
      <c r="AR129" s="21"/>
      <c r="AS129" s="21"/>
      <c r="AT129" s="21"/>
      <c r="AU129" s="21"/>
      <c r="AV129" s="21"/>
      <c r="AW129" s="21"/>
    </row>
    <row r="130" spans="2:49" x14ac:dyDescent="0.15">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c r="AP130" s="21"/>
      <c r="AQ130" s="21"/>
      <c r="AR130" s="21"/>
      <c r="AS130" s="21"/>
      <c r="AT130" s="21"/>
      <c r="AU130" s="21"/>
      <c r="AV130" s="21"/>
      <c r="AW130" s="21"/>
    </row>
    <row r="131" spans="2:49" x14ac:dyDescent="0.15">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c r="AP131" s="21"/>
      <c r="AQ131" s="21"/>
      <c r="AR131" s="21"/>
      <c r="AS131" s="21"/>
      <c r="AT131" s="21"/>
      <c r="AU131" s="21"/>
      <c r="AV131" s="21"/>
      <c r="AW131" s="21"/>
    </row>
    <row r="132" spans="2:49" x14ac:dyDescent="0.15">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c r="AP132" s="21"/>
      <c r="AQ132" s="21"/>
      <c r="AR132" s="21"/>
      <c r="AS132" s="21"/>
      <c r="AT132" s="21"/>
      <c r="AU132" s="21"/>
      <c r="AV132" s="21"/>
      <c r="AW132" s="21"/>
    </row>
    <row r="133" spans="2:49" x14ac:dyDescent="0.15">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c r="AP133" s="21"/>
      <c r="AQ133" s="21"/>
      <c r="AR133" s="21"/>
      <c r="AS133" s="21"/>
      <c r="AT133" s="21"/>
      <c r="AU133" s="21"/>
      <c r="AV133" s="21"/>
      <c r="AW133" s="21"/>
    </row>
    <row r="134" spans="2:49" x14ac:dyDescent="0.15">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21"/>
      <c r="AU134" s="21"/>
      <c r="AV134" s="21"/>
      <c r="AW134" s="21"/>
    </row>
    <row r="135" spans="2:49" x14ac:dyDescent="0.15">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21"/>
    </row>
    <row r="136" spans="2:49" x14ac:dyDescent="0.15">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c r="AP136" s="21"/>
      <c r="AQ136" s="21"/>
      <c r="AR136" s="21"/>
      <c r="AS136" s="21"/>
      <c r="AT136" s="21"/>
      <c r="AU136" s="21"/>
      <c r="AV136" s="21"/>
      <c r="AW136" s="21"/>
    </row>
    <row r="137" spans="2:49" x14ac:dyDescent="0.15">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row>
    <row r="138" spans="2:49" x14ac:dyDescent="0.15">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row>
    <row r="139" spans="2:49" x14ac:dyDescent="0.15">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c r="AN139" s="21"/>
      <c r="AO139" s="21"/>
      <c r="AP139" s="21"/>
      <c r="AQ139" s="21"/>
      <c r="AR139" s="21"/>
      <c r="AS139" s="21"/>
      <c r="AT139" s="21"/>
      <c r="AU139" s="21"/>
      <c r="AV139" s="21"/>
      <c r="AW139" s="21"/>
    </row>
    <row r="140" spans="2:49" x14ac:dyDescent="0.15">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c r="AP140" s="21"/>
      <c r="AQ140" s="21"/>
      <c r="AR140" s="21"/>
      <c r="AS140" s="21"/>
      <c r="AT140" s="21"/>
      <c r="AU140" s="21"/>
      <c r="AV140" s="21"/>
      <c r="AW140" s="21"/>
    </row>
    <row r="141" spans="2:49" x14ac:dyDescent="0.15">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c r="AP141" s="21"/>
      <c r="AQ141" s="21"/>
      <c r="AR141" s="21"/>
      <c r="AS141" s="21"/>
      <c r="AT141" s="21"/>
      <c r="AU141" s="21"/>
      <c r="AV141" s="21"/>
      <c r="AW141" s="21"/>
    </row>
    <row r="142" spans="2:49" x14ac:dyDescent="0.15">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c r="AM142" s="21"/>
      <c r="AN142" s="21"/>
      <c r="AO142" s="21"/>
      <c r="AP142" s="21"/>
      <c r="AQ142" s="21"/>
      <c r="AR142" s="21"/>
      <c r="AS142" s="21"/>
      <c r="AT142" s="21"/>
      <c r="AU142" s="21"/>
      <c r="AV142" s="21"/>
      <c r="AW142" s="21"/>
    </row>
    <row r="143" spans="2:49" x14ac:dyDescent="0.15">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1"/>
      <c r="AN143" s="21"/>
      <c r="AO143" s="21"/>
      <c r="AP143" s="21"/>
      <c r="AQ143" s="21"/>
      <c r="AR143" s="21"/>
      <c r="AS143" s="21"/>
      <c r="AT143" s="21"/>
      <c r="AU143" s="21"/>
      <c r="AV143" s="21"/>
      <c r="AW143" s="21"/>
    </row>
    <row r="144" spans="2:49" x14ac:dyDescent="0.15">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c r="AM144" s="21"/>
      <c r="AN144" s="21"/>
      <c r="AO144" s="21"/>
      <c r="AP144" s="21"/>
      <c r="AQ144" s="21"/>
      <c r="AR144" s="21"/>
      <c r="AS144" s="21"/>
      <c r="AT144" s="21"/>
      <c r="AU144" s="21"/>
      <c r="AV144" s="21"/>
      <c r="AW144" s="21"/>
    </row>
    <row r="145" spans="2:49" x14ac:dyDescent="0.15">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c r="AL145" s="21"/>
      <c r="AM145" s="21"/>
      <c r="AN145" s="21"/>
      <c r="AO145" s="21"/>
      <c r="AP145" s="21"/>
      <c r="AQ145" s="21"/>
      <c r="AR145" s="21"/>
      <c r="AS145" s="21"/>
      <c r="AT145" s="21"/>
      <c r="AU145" s="21"/>
      <c r="AV145" s="21"/>
      <c r="AW145" s="21"/>
    </row>
    <row r="146" spans="2:49" x14ac:dyDescent="0.15">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c r="AM146" s="21"/>
      <c r="AN146" s="21"/>
      <c r="AO146" s="21"/>
      <c r="AP146" s="21"/>
      <c r="AQ146" s="21"/>
      <c r="AR146" s="21"/>
      <c r="AS146" s="21"/>
      <c r="AT146" s="21"/>
      <c r="AU146" s="21"/>
      <c r="AV146" s="21"/>
      <c r="AW146" s="21"/>
    </row>
    <row r="147" spans="2:49" x14ac:dyDescent="0.15">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c r="AM147" s="21"/>
      <c r="AN147" s="21"/>
      <c r="AO147" s="21"/>
      <c r="AP147" s="21"/>
      <c r="AQ147" s="21"/>
      <c r="AR147" s="21"/>
      <c r="AS147" s="21"/>
      <c r="AT147" s="21"/>
      <c r="AU147" s="21"/>
      <c r="AV147" s="21"/>
      <c r="AW147" s="21"/>
    </row>
    <row r="148" spans="2:49" x14ac:dyDescent="0.15">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row>
    <row r="149" spans="2:49" x14ac:dyDescent="0.15">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T149" s="21"/>
      <c r="AU149" s="21"/>
      <c r="AV149" s="21"/>
      <c r="AW149" s="21"/>
    </row>
    <row r="150" spans="2:49" x14ac:dyDescent="0.15">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c r="AW150" s="21"/>
    </row>
    <row r="151" spans="2:49" x14ac:dyDescent="0.15">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c r="AM151" s="21"/>
      <c r="AN151" s="21"/>
      <c r="AO151" s="21"/>
      <c r="AP151" s="21"/>
      <c r="AQ151" s="21"/>
      <c r="AR151" s="21"/>
      <c r="AS151" s="21"/>
      <c r="AT151" s="21"/>
      <c r="AU151" s="21"/>
      <c r="AV151" s="21"/>
      <c r="AW151" s="21"/>
    </row>
    <row r="152" spans="2:49" x14ac:dyDescent="0.15">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row>
    <row r="153" spans="2:49" x14ac:dyDescent="0.15">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21"/>
      <c r="AT153" s="21"/>
      <c r="AU153" s="21"/>
      <c r="AV153" s="21"/>
      <c r="AW153" s="21"/>
    </row>
    <row r="154" spans="2:49" x14ac:dyDescent="0.15">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c r="AP154" s="21"/>
      <c r="AQ154" s="21"/>
      <c r="AR154" s="21"/>
      <c r="AS154" s="21"/>
      <c r="AT154" s="21"/>
      <c r="AU154" s="21"/>
      <c r="AV154" s="21"/>
      <c r="AW154" s="21"/>
    </row>
    <row r="155" spans="2:49" x14ac:dyDescent="0.15">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c r="AM155" s="21"/>
      <c r="AN155" s="21"/>
      <c r="AO155" s="21"/>
      <c r="AP155" s="21"/>
      <c r="AQ155" s="21"/>
      <c r="AR155" s="21"/>
      <c r="AS155" s="21"/>
      <c r="AT155" s="21"/>
      <c r="AU155" s="21"/>
      <c r="AV155" s="21"/>
      <c r="AW155" s="21"/>
    </row>
    <row r="156" spans="2:49" x14ac:dyDescent="0.15">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c r="AM156" s="21"/>
      <c r="AN156" s="21"/>
      <c r="AO156" s="21"/>
      <c r="AP156" s="21"/>
      <c r="AQ156" s="21"/>
      <c r="AR156" s="21"/>
      <c r="AS156" s="21"/>
      <c r="AT156" s="21"/>
      <c r="AU156" s="21"/>
      <c r="AV156" s="21"/>
      <c r="AW156" s="21"/>
    </row>
    <row r="157" spans="2:49" x14ac:dyDescent="0.15">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c r="AL157" s="21"/>
      <c r="AM157" s="21"/>
      <c r="AN157" s="21"/>
      <c r="AO157" s="21"/>
      <c r="AP157" s="21"/>
      <c r="AQ157" s="21"/>
      <c r="AR157" s="21"/>
      <c r="AS157" s="21"/>
      <c r="AT157" s="21"/>
      <c r="AU157" s="21"/>
      <c r="AV157" s="21"/>
      <c r="AW157" s="21"/>
    </row>
    <row r="158" spans="2:49" x14ac:dyDescent="0.15">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c r="AL158" s="21"/>
      <c r="AM158" s="21"/>
      <c r="AN158" s="21"/>
      <c r="AO158" s="21"/>
      <c r="AP158" s="21"/>
      <c r="AQ158" s="21"/>
      <c r="AR158" s="21"/>
      <c r="AS158" s="21"/>
      <c r="AT158" s="21"/>
      <c r="AU158" s="21"/>
      <c r="AV158" s="21"/>
      <c r="AW158" s="21"/>
    </row>
    <row r="159" spans="2:49" x14ac:dyDescent="0.15">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c r="AM159" s="21"/>
      <c r="AN159" s="21"/>
      <c r="AO159" s="21"/>
      <c r="AP159" s="21"/>
      <c r="AQ159" s="21"/>
      <c r="AR159" s="21"/>
      <c r="AS159" s="21"/>
      <c r="AT159" s="21"/>
      <c r="AU159" s="21"/>
      <c r="AV159" s="21"/>
      <c r="AW159" s="21"/>
    </row>
    <row r="160" spans="2:49" x14ac:dyDescent="0.15">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c r="AW160" s="21"/>
    </row>
    <row r="161" spans="2:49" x14ac:dyDescent="0.15">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c r="AN161" s="21"/>
      <c r="AO161" s="21"/>
      <c r="AP161" s="21"/>
      <c r="AQ161" s="21"/>
      <c r="AR161" s="21"/>
      <c r="AS161" s="21"/>
      <c r="AT161" s="21"/>
      <c r="AU161" s="21"/>
      <c r="AV161" s="21"/>
      <c r="AW161" s="21"/>
    </row>
    <row r="162" spans="2:49" x14ac:dyDescent="0.15">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row>
    <row r="163" spans="2:49" x14ac:dyDescent="0.15">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c r="AM163" s="21"/>
      <c r="AN163" s="21"/>
      <c r="AO163" s="21"/>
      <c r="AP163" s="21"/>
      <c r="AQ163" s="21"/>
      <c r="AR163" s="21"/>
      <c r="AS163" s="21"/>
      <c r="AT163" s="21"/>
      <c r="AU163" s="21"/>
      <c r="AV163" s="21"/>
      <c r="AW163" s="21"/>
    </row>
    <row r="164" spans="2:49" x14ac:dyDescent="0.15">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c r="AM164" s="21"/>
      <c r="AN164" s="21"/>
      <c r="AO164" s="21"/>
      <c r="AP164" s="21"/>
      <c r="AQ164" s="21"/>
      <c r="AR164" s="21"/>
      <c r="AS164" s="21"/>
      <c r="AT164" s="21"/>
      <c r="AU164" s="21"/>
      <c r="AV164" s="21"/>
      <c r="AW164" s="21"/>
    </row>
    <row r="165" spans="2:49" x14ac:dyDescent="0.15">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c r="AM165" s="21"/>
      <c r="AN165" s="21"/>
      <c r="AO165" s="21"/>
      <c r="AP165" s="21"/>
      <c r="AQ165" s="21"/>
      <c r="AR165" s="21"/>
      <c r="AS165" s="21"/>
      <c r="AT165" s="21"/>
      <c r="AU165" s="21"/>
      <c r="AV165" s="21"/>
      <c r="AW165" s="21"/>
    </row>
    <row r="166" spans="2:49" x14ac:dyDescent="0.15">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row>
    <row r="167" spans="2:49" x14ac:dyDescent="0.15">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row>
    <row r="168" spans="2:49" x14ac:dyDescent="0.15">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row>
    <row r="169" spans="2:49" x14ac:dyDescent="0.15">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row>
    <row r="170" spans="2:49" x14ac:dyDescent="0.15">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c r="AL170" s="21"/>
      <c r="AM170" s="21"/>
      <c r="AN170" s="21"/>
      <c r="AO170" s="21"/>
      <c r="AP170" s="21"/>
      <c r="AQ170" s="21"/>
      <c r="AR170" s="21"/>
      <c r="AS170" s="21"/>
      <c r="AT170" s="21"/>
      <c r="AU170" s="21"/>
      <c r="AV170" s="21"/>
      <c r="AW170" s="21"/>
    </row>
    <row r="171" spans="2:49" x14ac:dyDescent="0.15">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c r="AW171" s="21"/>
    </row>
    <row r="172" spans="2:49" x14ac:dyDescent="0.15">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row>
    <row r="173" spans="2:49" x14ac:dyDescent="0.15">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row>
    <row r="174" spans="2:49" x14ac:dyDescent="0.15">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row>
    <row r="175" spans="2:49" x14ac:dyDescent="0.15">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1"/>
      <c r="AN175" s="21"/>
      <c r="AO175" s="21"/>
      <c r="AP175" s="21"/>
      <c r="AQ175" s="21"/>
      <c r="AR175" s="21"/>
      <c r="AS175" s="21"/>
      <c r="AT175" s="21"/>
      <c r="AU175" s="21"/>
      <c r="AV175" s="21"/>
      <c r="AW175" s="21"/>
    </row>
    <row r="176" spans="2:49" x14ac:dyDescent="0.15">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c r="AM176" s="21"/>
      <c r="AN176" s="21"/>
      <c r="AO176" s="21"/>
      <c r="AP176" s="21"/>
      <c r="AQ176" s="21"/>
      <c r="AR176" s="21"/>
      <c r="AS176" s="21"/>
      <c r="AT176" s="21"/>
      <c r="AU176" s="21"/>
      <c r="AV176" s="21"/>
      <c r="AW176" s="21"/>
    </row>
    <row r="177" spans="2:49" x14ac:dyDescent="0.15">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c r="AL177" s="21"/>
      <c r="AM177" s="21"/>
      <c r="AN177" s="21"/>
      <c r="AO177" s="21"/>
      <c r="AP177" s="21"/>
      <c r="AQ177" s="21"/>
      <c r="AR177" s="21"/>
      <c r="AS177" s="21"/>
      <c r="AT177" s="21"/>
      <c r="AU177" s="21"/>
      <c r="AV177" s="21"/>
      <c r="AW177" s="21"/>
    </row>
    <row r="178" spans="2:49" x14ac:dyDescent="0.15">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c r="AN178" s="21"/>
      <c r="AO178" s="21"/>
      <c r="AP178" s="21"/>
      <c r="AQ178" s="21"/>
      <c r="AR178" s="21"/>
      <c r="AS178" s="21"/>
      <c r="AT178" s="21"/>
      <c r="AU178" s="21"/>
      <c r="AV178" s="21"/>
      <c r="AW178" s="21"/>
    </row>
    <row r="179" spans="2:49" x14ac:dyDescent="0.15">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row>
    <row r="180" spans="2:49" x14ac:dyDescent="0.15">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row>
    <row r="181" spans="2:49" x14ac:dyDescent="0.15">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row>
    <row r="182" spans="2:49" x14ac:dyDescent="0.15">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c r="AM182" s="21"/>
      <c r="AN182" s="21"/>
      <c r="AO182" s="21"/>
      <c r="AP182" s="21"/>
      <c r="AQ182" s="21"/>
      <c r="AR182" s="21"/>
      <c r="AS182" s="21"/>
      <c r="AT182" s="21"/>
      <c r="AU182" s="21"/>
      <c r="AV182" s="21"/>
      <c r="AW182" s="21"/>
    </row>
    <row r="183" spans="2:49" x14ac:dyDescent="0.15">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c r="AM183" s="21"/>
      <c r="AN183" s="21"/>
      <c r="AO183" s="21"/>
      <c r="AP183" s="21"/>
      <c r="AQ183" s="21"/>
      <c r="AR183" s="21"/>
      <c r="AS183" s="21"/>
      <c r="AT183" s="21"/>
      <c r="AU183" s="21"/>
      <c r="AV183" s="21"/>
      <c r="AW183" s="21"/>
    </row>
    <row r="184" spans="2:49" x14ac:dyDescent="0.15">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c r="AN184" s="21"/>
      <c r="AO184" s="21"/>
      <c r="AP184" s="21"/>
      <c r="AQ184" s="21"/>
      <c r="AR184" s="21"/>
      <c r="AS184" s="21"/>
      <c r="AT184" s="21"/>
      <c r="AU184" s="21"/>
      <c r="AV184" s="21"/>
      <c r="AW184" s="21"/>
    </row>
    <row r="185" spans="2:49" x14ac:dyDescent="0.15">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c r="AL185" s="21"/>
      <c r="AM185" s="21"/>
      <c r="AN185" s="21"/>
      <c r="AO185" s="21"/>
      <c r="AP185" s="21"/>
      <c r="AQ185" s="21"/>
      <c r="AR185" s="21"/>
      <c r="AS185" s="21"/>
      <c r="AT185" s="21"/>
      <c r="AU185" s="21"/>
      <c r="AV185" s="21"/>
      <c r="AW185" s="21"/>
    </row>
    <row r="186" spans="2:49" x14ac:dyDescent="0.15">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c r="AL186" s="21"/>
      <c r="AM186" s="21"/>
      <c r="AN186" s="21"/>
      <c r="AO186" s="21"/>
      <c r="AP186" s="21"/>
      <c r="AQ186" s="21"/>
      <c r="AR186" s="21"/>
      <c r="AS186" s="21"/>
      <c r="AT186" s="21"/>
      <c r="AU186" s="21"/>
      <c r="AV186" s="21"/>
      <c r="AW186" s="21"/>
    </row>
    <row r="187" spans="2:49" x14ac:dyDescent="0.15">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1"/>
      <c r="AN187" s="21"/>
      <c r="AO187" s="21"/>
      <c r="AP187" s="21"/>
      <c r="AQ187" s="21"/>
      <c r="AR187" s="21"/>
      <c r="AS187" s="21"/>
      <c r="AT187" s="21"/>
      <c r="AU187" s="21"/>
      <c r="AV187" s="21"/>
      <c r="AW187" s="21"/>
    </row>
    <row r="188" spans="2:49" x14ac:dyDescent="0.15">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1"/>
      <c r="AN188" s="21"/>
      <c r="AO188" s="21"/>
      <c r="AP188" s="21"/>
      <c r="AQ188" s="21"/>
      <c r="AR188" s="21"/>
      <c r="AS188" s="21"/>
      <c r="AT188" s="21"/>
      <c r="AU188" s="21"/>
      <c r="AV188" s="21"/>
      <c r="AW188" s="21"/>
    </row>
    <row r="189" spans="2:49" x14ac:dyDescent="0.15">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c r="AN189" s="21"/>
      <c r="AO189" s="21"/>
      <c r="AP189" s="21"/>
      <c r="AQ189" s="21"/>
      <c r="AR189" s="21"/>
      <c r="AS189" s="21"/>
      <c r="AT189" s="21"/>
      <c r="AU189" s="21"/>
      <c r="AV189" s="21"/>
      <c r="AW189" s="21"/>
    </row>
    <row r="190" spans="2:49" x14ac:dyDescent="0.15">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c r="AM190" s="21"/>
      <c r="AN190" s="21"/>
      <c r="AO190" s="21"/>
      <c r="AP190" s="21"/>
      <c r="AQ190" s="21"/>
      <c r="AR190" s="21"/>
      <c r="AS190" s="21"/>
      <c r="AT190" s="21"/>
      <c r="AU190" s="21"/>
      <c r="AV190" s="21"/>
      <c r="AW190" s="21"/>
    </row>
    <row r="191" spans="2:49" x14ac:dyDescent="0.15">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c r="AM191" s="21"/>
      <c r="AN191" s="21"/>
      <c r="AO191" s="21"/>
      <c r="AP191" s="21"/>
      <c r="AQ191" s="21"/>
      <c r="AR191" s="21"/>
      <c r="AS191" s="21"/>
      <c r="AT191" s="21"/>
      <c r="AU191" s="21"/>
      <c r="AV191" s="21"/>
      <c r="AW191" s="21"/>
    </row>
    <row r="192" spans="2:49" x14ac:dyDescent="0.15">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c r="AM192" s="21"/>
      <c r="AN192" s="21"/>
      <c r="AO192" s="21"/>
      <c r="AP192" s="21"/>
      <c r="AQ192" s="21"/>
      <c r="AR192" s="21"/>
      <c r="AS192" s="21"/>
      <c r="AT192" s="21"/>
      <c r="AU192" s="21"/>
      <c r="AV192" s="21"/>
      <c r="AW192" s="21"/>
    </row>
    <row r="193" spans="2:49" x14ac:dyDescent="0.15">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row>
    <row r="194" spans="2:49" x14ac:dyDescent="0.15">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c r="AC194" s="21"/>
      <c r="AD194" s="21"/>
      <c r="AE194" s="21"/>
      <c r="AF194" s="21"/>
      <c r="AG194" s="21"/>
      <c r="AH194" s="21"/>
      <c r="AI194" s="21"/>
      <c r="AJ194" s="21"/>
      <c r="AK194" s="21"/>
      <c r="AL194" s="21"/>
      <c r="AM194" s="21"/>
      <c r="AN194" s="21"/>
      <c r="AO194" s="21"/>
      <c r="AP194" s="21"/>
      <c r="AQ194" s="21"/>
      <c r="AR194" s="21"/>
      <c r="AS194" s="21"/>
      <c r="AT194" s="21"/>
      <c r="AU194" s="21"/>
      <c r="AV194" s="21"/>
      <c r="AW194" s="21"/>
    </row>
    <row r="195" spans="2:49" x14ac:dyDescent="0.15">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c r="AK195" s="21"/>
      <c r="AL195" s="21"/>
      <c r="AM195" s="21"/>
      <c r="AN195" s="21"/>
      <c r="AO195" s="21"/>
      <c r="AP195" s="21"/>
      <c r="AQ195" s="21"/>
      <c r="AR195" s="21"/>
      <c r="AS195" s="21"/>
      <c r="AT195" s="21"/>
      <c r="AU195" s="21"/>
      <c r="AV195" s="21"/>
      <c r="AW195" s="21"/>
    </row>
    <row r="196" spans="2:49" x14ac:dyDescent="0.15">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c r="AK196" s="21"/>
      <c r="AL196" s="21"/>
      <c r="AM196" s="21"/>
      <c r="AN196" s="21"/>
      <c r="AO196" s="21"/>
      <c r="AP196" s="21"/>
      <c r="AQ196" s="21"/>
      <c r="AR196" s="21"/>
      <c r="AS196" s="21"/>
      <c r="AT196" s="21"/>
      <c r="AU196" s="21"/>
      <c r="AV196" s="21"/>
      <c r="AW196" s="21"/>
    </row>
    <row r="197" spans="2:49" x14ac:dyDescent="0.15">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c r="AM197" s="21"/>
      <c r="AN197" s="21"/>
      <c r="AO197" s="21"/>
      <c r="AP197" s="21"/>
      <c r="AQ197" s="21"/>
      <c r="AR197" s="21"/>
      <c r="AS197" s="21"/>
      <c r="AT197" s="21"/>
      <c r="AU197" s="21"/>
      <c r="AV197" s="21"/>
      <c r="AW197" s="21"/>
    </row>
    <row r="198" spans="2:49" x14ac:dyDescent="0.15">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c r="AL198" s="21"/>
      <c r="AM198" s="21"/>
      <c r="AN198" s="21"/>
      <c r="AO198" s="21"/>
      <c r="AP198" s="21"/>
      <c r="AQ198" s="21"/>
      <c r="AR198" s="21"/>
      <c r="AS198" s="21"/>
      <c r="AT198" s="21"/>
      <c r="AU198" s="21"/>
      <c r="AV198" s="21"/>
      <c r="AW198" s="21"/>
    </row>
    <row r="199" spans="2:49" x14ac:dyDescent="0.15">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c r="AL199" s="21"/>
      <c r="AM199" s="21"/>
      <c r="AN199" s="21"/>
      <c r="AO199" s="21"/>
      <c r="AP199" s="21"/>
      <c r="AQ199" s="21"/>
      <c r="AR199" s="21"/>
      <c r="AS199" s="21"/>
      <c r="AT199" s="21"/>
      <c r="AU199" s="21"/>
      <c r="AV199" s="21"/>
      <c r="AW199" s="21"/>
    </row>
    <row r="200" spans="2:49" x14ac:dyDescent="0.15">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c r="AN200" s="21"/>
      <c r="AO200" s="21"/>
      <c r="AP200" s="21"/>
      <c r="AQ200" s="21"/>
      <c r="AR200" s="21"/>
      <c r="AS200" s="21"/>
      <c r="AT200" s="21"/>
      <c r="AU200" s="21"/>
      <c r="AV200" s="21"/>
      <c r="AW200" s="21"/>
    </row>
    <row r="201" spans="2:49" x14ac:dyDescent="0.15">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c r="AL201" s="21"/>
      <c r="AM201" s="21"/>
      <c r="AN201" s="21"/>
      <c r="AO201" s="21"/>
      <c r="AP201" s="21"/>
      <c r="AQ201" s="21"/>
      <c r="AR201" s="21"/>
      <c r="AS201" s="21"/>
      <c r="AT201" s="21"/>
      <c r="AU201" s="21"/>
      <c r="AV201" s="21"/>
      <c r="AW201" s="21"/>
    </row>
    <row r="202" spans="2:49" x14ac:dyDescent="0.15">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c r="AL202" s="21"/>
      <c r="AM202" s="21"/>
      <c r="AN202" s="21"/>
      <c r="AO202" s="21"/>
      <c r="AP202" s="21"/>
      <c r="AQ202" s="21"/>
      <c r="AR202" s="21"/>
      <c r="AS202" s="21"/>
      <c r="AT202" s="21"/>
      <c r="AU202" s="21"/>
      <c r="AV202" s="21"/>
      <c r="AW202" s="21"/>
    </row>
    <row r="203" spans="2:49" x14ac:dyDescent="0.15">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c r="AL203" s="21"/>
      <c r="AM203" s="21"/>
      <c r="AN203" s="21"/>
      <c r="AO203" s="21"/>
      <c r="AP203" s="21"/>
      <c r="AQ203" s="21"/>
      <c r="AR203" s="21"/>
      <c r="AS203" s="21"/>
      <c r="AT203" s="21"/>
      <c r="AU203" s="21"/>
      <c r="AV203" s="21"/>
      <c r="AW203" s="21"/>
    </row>
    <row r="204" spans="2:49" x14ac:dyDescent="0.15">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c r="AL204" s="21"/>
      <c r="AM204" s="21"/>
      <c r="AN204" s="21"/>
      <c r="AO204" s="21"/>
      <c r="AP204" s="21"/>
      <c r="AQ204" s="21"/>
      <c r="AR204" s="21"/>
      <c r="AS204" s="21"/>
      <c r="AT204" s="21"/>
      <c r="AU204" s="21"/>
      <c r="AV204" s="21"/>
      <c r="AW204" s="21"/>
    </row>
    <row r="205" spans="2:49" x14ac:dyDescent="0.15">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c r="AL205" s="21"/>
      <c r="AM205" s="21"/>
      <c r="AN205" s="21"/>
      <c r="AO205" s="21"/>
      <c r="AP205" s="21"/>
      <c r="AQ205" s="21"/>
      <c r="AR205" s="21"/>
      <c r="AS205" s="21"/>
      <c r="AT205" s="21"/>
      <c r="AU205" s="21"/>
      <c r="AV205" s="21"/>
      <c r="AW205" s="21"/>
    </row>
    <row r="206" spans="2:49" x14ac:dyDescent="0.15">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c r="AK206" s="21"/>
      <c r="AL206" s="21"/>
      <c r="AM206" s="21"/>
      <c r="AN206" s="21"/>
      <c r="AO206" s="21"/>
      <c r="AP206" s="21"/>
      <c r="AQ206" s="21"/>
      <c r="AR206" s="21"/>
      <c r="AS206" s="21"/>
      <c r="AT206" s="21"/>
      <c r="AU206" s="21"/>
      <c r="AV206" s="21"/>
      <c r="AW206" s="21"/>
    </row>
    <row r="207" spans="2:49" x14ac:dyDescent="0.15">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c r="AK207" s="21"/>
      <c r="AL207" s="21"/>
      <c r="AM207" s="21"/>
      <c r="AN207" s="21"/>
      <c r="AO207" s="21"/>
      <c r="AP207" s="21"/>
      <c r="AQ207" s="21"/>
      <c r="AR207" s="21"/>
      <c r="AS207" s="21"/>
      <c r="AT207" s="21"/>
      <c r="AU207" s="21"/>
      <c r="AV207" s="21"/>
      <c r="AW207" s="21"/>
    </row>
    <row r="208" spans="2:49" x14ac:dyDescent="0.15">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c r="AK208" s="21"/>
      <c r="AL208" s="21"/>
      <c r="AM208" s="21"/>
      <c r="AN208" s="21"/>
      <c r="AO208" s="21"/>
      <c r="AP208" s="21"/>
      <c r="AQ208" s="21"/>
      <c r="AR208" s="21"/>
      <c r="AS208" s="21"/>
      <c r="AT208" s="21"/>
      <c r="AU208" s="21"/>
      <c r="AV208" s="21"/>
      <c r="AW208" s="21"/>
    </row>
    <row r="209" spans="2:49" x14ac:dyDescent="0.15">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c r="AL209" s="21"/>
      <c r="AM209" s="21"/>
      <c r="AN209" s="21"/>
      <c r="AO209" s="21"/>
      <c r="AP209" s="21"/>
      <c r="AQ209" s="21"/>
      <c r="AR209" s="21"/>
      <c r="AS209" s="21"/>
      <c r="AT209" s="21"/>
      <c r="AU209" s="21"/>
      <c r="AV209" s="21"/>
      <c r="AW209" s="21"/>
    </row>
    <row r="210" spans="2:49" x14ac:dyDescent="0.15">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c r="AM210" s="21"/>
      <c r="AN210" s="21"/>
      <c r="AO210" s="21"/>
      <c r="AP210" s="21"/>
      <c r="AQ210" s="21"/>
      <c r="AR210" s="21"/>
      <c r="AS210" s="21"/>
      <c r="AT210" s="21"/>
      <c r="AU210" s="21"/>
      <c r="AV210" s="21"/>
      <c r="AW210" s="21"/>
    </row>
    <row r="211" spans="2:49" x14ac:dyDescent="0.15">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c r="AK211" s="21"/>
      <c r="AL211" s="21"/>
      <c r="AM211" s="21"/>
      <c r="AN211" s="21"/>
      <c r="AO211" s="21"/>
      <c r="AP211" s="21"/>
      <c r="AQ211" s="21"/>
      <c r="AR211" s="21"/>
      <c r="AS211" s="21"/>
      <c r="AT211" s="21"/>
      <c r="AU211" s="21"/>
      <c r="AV211" s="21"/>
      <c r="AW211" s="21"/>
    </row>
    <row r="212" spans="2:49" x14ac:dyDescent="0.15">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c r="AC212" s="21"/>
      <c r="AD212" s="21"/>
      <c r="AE212" s="21"/>
      <c r="AF212" s="21"/>
      <c r="AG212" s="21"/>
      <c r="AH212" s="21"/>
      <c r="AI212" s="21"/>
      <c r="AJ212" s="21"/>
      <c r="AK212" s="21"/>
      <c r="AL212" s="21"/>
      <c r="AM212" s="21"/>
      <c r="AN212" s="21"/>
      <c r="AO212" s="21"/>
      <c r="AP212" s="21"/>
      <c r="AQ212" s="21"/>
      <c r="AR212" s="21"/>
      <c r="AS212" s="21"/>
      <c r="AT212" s="21"/>
      <c r="AU212" s="21"/>
      <c r="AV212" s="21"/>
      <c r="AW212" s="21"/>
    </row>
    <row r="213" spans="2:49" x14ac:dyDescent="0.15">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c r="AL213" s="21"/>
      <c r="AM213" s="21"/>
      <c r="AN213" s="21"/>
      <c r="AO213" s="21"/>
      <c r="AP213" s="21"/>
      <c r="AQ213" s="21"/>
      <c r="AR213" s="21"/>
      <c r="AS213" s="21"/>
      <c r="AT213" s="21"/>
      <c r="AU213" s="21"/>
      <c r="AV213" s="21"/>
      <c r="AW213" s="21"/>
    </row>
    <row r="214" spans="2:49" x14ac:dyDescent="0.15">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c r="AC214" s="21"/>
      <c r="AD214" s="21"/>
      <c r="AE214" s="21"/>
      <c r="AF214" s="21"/>
      <c r="AG214" s="21"/>
      <c r="AH214" s="21"/>
      <c r="AI214" s="21"/>
      <c r="AJ214" s="21"/>
      <c r="AK214" s="21"/>
      <c r="AL214" s="21"/>
      <c r="AM214" s="21"/>
      <c r="AN214" s="21"/>
      <c r="AO214" s="21"/>
      <c r="AP214" s="21"/>
      <c r="AQ214" s="21"/>
      <c r="AR214" s="21"/>
      <c r="AS214" s="21"/>
      <c r="AT214" s="21"/>
      <c r="AU214" s="21"/>
      <c r="AV214" s="21"/>
      <c r="AW214" s="21"/>
    </row>
    <row r="215" spans="2:49" x14ac:dyDescent="0.15">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c r="AC215" s="21"/>
      <c r="AD215" s="21"/>
      <c r="AE215" s="21"/>
      <c r="AF215" s="21"/>
      <c r="AG215" s="21"/>
      <c r="AH215" s="21"/>
      <c r="AI215" s="21"/>
      <c r="AJ215" s="21"/>
      <c r="AK215" s="21"/>
      <c r="AL215" s="21"/>
      <c r="AM215" s="21"/>
      <c r="AN215" s="21"/>
      <c r="AO215" s="21"/>
      <c r="AP215" s="21"/>
      <c r="AQ215" s="21"/>
      <c r="AR215" s="21"/>
      <c r="AS215" s="21"/>
      <c r="AT215" s="21"/>
      <c r="AU215" s="21"/>
      <c r="AV215" s="21"/>
      <c r="AW215" s="21"/>
    </row>
    <row r="216" spans="2:49" x14ac:dyDescent="0.15">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c r="AK216" s="21"/>
      <c r="AL216" s="21"/>
      <c r="AM216" s="21"/>
      <c r="AN216" s="21"/>
      <c r="AO216" s="21"/>
      <c r="AP216" s="21"/>
      <c r="AQ216" s="21"/>
      <c r="AR216" s="21"/>
      <c r="AS216" s="21"/>
      <c r="AT216" s="21"/>
      <c r="AU216" s="21"/>
      <c r="AV216" s="21"/>
      <c r="AW216" s="21"/>
    </row>
    <row r="217" spans="2:49" x14ac:dyDescent="0.15">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c r="AL217" s="21"/>
      <c r="AM217" s="21"/>
      <c r="AN217" s="21"/>
      <c r="AO217" s="21"/>
      <c r="AP217" s="21"/>
      <c r="AQ217" s="21"/>
      <c r="AR217" s="21"/>
      <c r="AS217" s="21"/>
      <c r="AT217" s="21"/>
      <c r="AU217" s="21"/>
      <c r="AV217" s="21"/>
      <c r="AW217" s="21"/>
    </row>
    <row r="218" spans="2:49" x14ac:dyDescent="0.15">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c r="AC218" s="21"/>
      <c r="AD218" s="21"/>
      <c r="AE218" s="21"/>
      <c r="AF218" s="21"/>
      <c r="AG218" s="21"/>
      <c r="AH218" s="21"/>
      <c r="AI218" s="21"/>
      <c r="AJ218" s="21"/>
      <c r="AK218" s="21"/>
      <c r="AL218" s="21"/>
      <c r="AM218" s="21"/>
      <c r="AN218" s="21"/>
      <c r="AO218" s="21"/>
      <c r="AP218" s="21"/>
      <c r="AQ218" s="21"/>
      <c r="AR218" s="21"/>
      <c r="AS218" s="21"/>
      <c r="AT218" s="21"/>
      <c r="AU218" s="21"/>
      <c r="AV218" s="21"/>
      <c r="AW218" s="21"/>
    </row>
    <row r="219" spans="2:49" x14ac:dyDescent="0.15">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c r="AC219" s="21"/>
      <c r="AD219" s="21"/>
      <c r="AE219" s="21"/>
      <c r="AF219" s="21"/>
      <c r="AG219" s="21"/>
      <c r="AH219" s="21"/>
      <c r="AI219" s="21"/>
      <c r="AJ219" s="21"/>
      <c r="AK219" s="21"/>
      <c r="AL219" s="21"/>
      <c r="AM219" s="21"/>
      <c r="AN219" s="21"/>
      <c r="AO219" s="21"/>
      <c r="AP219" s="21"/>
      <c r="AQ219" s="21"/>
      <c r="AR219" s="21"/>
      <c r="AS219" s="21"/>
      <c r="AT219" s="21"/>
      <c r="AU219" s="21"/>
      <c r="AV219" s="21"/>
      <c r="AW219" s="21"/>
    </row>
    <row r="220" spans="2:49" x14ac:dyDescent="0.15">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c r="AC220" s="21"/>
      <c r="AD220" s="21"/>
      <c r="AE220" s="21"/>
      <c r="AF220" s="21"/>
      <c r="AG220" s="21"/>
      <c r="AH220" s="21"/>
      <c r="AI220" s="21"/>
      <c r="AJ220" s="21"/>
      <c r="AK220" s="21"/>
      <c r="AL220" s="21"/>
      <c r="AM220" s="21"/>
      <c r="AN220" s="21"/>
      <c r="AO220" s="21"/>
      <c r="AP220" s="21"/>
      <c r="AQ220" s="21"/>
      <c r="AR220" s="21"/>
      <c r="AS220" s="21"/>
      <c r="AT220" s="21"/>
      <c r="AU220" s="21"/>
      <c r="AV220" s="21"/>
      <c r="AW220" s="21"/>
    </row>
    <row r="221" spans="2:49" x14ac:dyDescent="0.15">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c r="AC221" s="21"/>
      <c r="AD221" s="21"/>
      <c r="AE221" s="21"/>
      <c r="AF221" s="21"/>
      <c r="AG221" s="21"/>
      <c r="AH221" s="21"/>
      <c r="AI221" s="21"/>
      <c r="AJ221" s="21"/>
      <c r="AK221" s="21"/>
      <c r="AL221" s="21"/>
      <c r="AM221" s="21"/>
      <c r="AN221" s="21"/>
      <c r="AO221" s="21"/>
      <c r="AP221" s="21"/>
      <c r="AQ221" s="21"/>
      <c r="AR221" s="21"/>
      <c r="AS221" s="21"/>
      <c r="AT221" s="21"/>
      <c r="AU221" s="21"/>
      <c r="AV221" s="21"/>
      <c r="AW221" s="21"/>
    </row>
    <row r="222" spans="2:49" x14ac:dyDescent="0.15">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c r="AC222" s="21"/>
      <c r="AD222" s="21"/>
      <c r="AE222" s="21"/>
      <c r="AF222" s="21"/>
      <c r="AG222" s="21"/>
      <c r="AH222" s="21"/>
      <c r="AI222" s="21"/>
      <c r="AJ222" s="21"/>
      <c r="AK222" s="21"/>
      <c r="AL222" s="21"/>
      <c r="AM222" s="21"/>
      <c r="AN222" s="21"/>
      <c r="AO222" s="21"/>
      <c r="AP222" s="21"/>
      <c r="AQ222" s="21"/>
      <c r="AR222" s="21"/>
      <c r="AS222" s="21"/>
      <c r="AT222" s="21"/>
      <c r="AU222" s="21"/>
      <c r="AV222" s="21"/>
      <c r="AW222" s="21"/>
    </row>
    <row r="223" spans="2:49" x14ac:dyDescent="0.15">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c r="AK223" s="21"/>
      <c r="AL223" s="21"/>
      <c r="AM223" s="21"/>
      <c r="AN223" s="21"/>
      <c r="AO223" s="21"/>
      <c r="AP223" s="21"/>
      <c r="AQ223" s="21"/>
      <c r="AR223" s="21"/>
      <c r="AS223" s="21"/>
      <c r="AT223" s="21"/>
      <c r="AU223" s="21"/>
      <c r="AV223" s="21"/>
      <c r="AW223" s="21"/>
    </row>
    <row r="224" spans="2:49" x14ac:dyDescent="0.15">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c r="AC224" s="21"/>
      <c r="AD224" s="21"/>
      <c r="AE224" s="21"/>
      <c r="AF224" s="21"/>
      <c r="AG224" s="21"/>
      <c r="AH224" s="21"/>
      <c r="AI224" s="21"/>
      <c r="AJ224" s="21"/>
      <c r="AK224" s="21"/>
      <c r="AL224" s="21"/>
      <c r="AM224" s="21"/>
      <c r="AN224" s="21"/>
      <c r="AO224" s="21"/>
      <c r="AP224" s="21"/>
      <c r="AQ224" s="21"/>
      <c r="AR224" s="21"/>
      <c r="AS224" s="21"/>
      <c r="AT224" s="21"/>
      <c r="AU224" s="21"/>
      <c r="AV224" s="21"/>
      <c r="AW224" s="21"/>
    </row>
    <row r="225" spans="2:49" x14ac:dyDescent="0.15">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c r="AC225" s="21"/>
      <c r="AD225" s="21"/>
      <c r="AE225" s="21"/>
      <c r="AF225" s="21"/>
      <c r="AG225" s="21"/>
      <c r="AH225" s="21"/>
      <c r="AI225" s="21"/>
      <c r="AJ225" s="21"/>
      <c r="AK225" s="21"/>
      <c r="AL225" s="21"/>
      <c r="AM225" s="21"/>
      <c r="AN225" s="21"/>
      <c r="AO225" s="21"/>
      <c r="AP225" s="21"/>
      <c r="AQ225" s="21"/>
      <c r="AR225" s="21"/>
      <c r="AS225" s="21"/>
      <c r="AT225" s="21"/>
      <c r="AU225" s="21"/>
      <c r="AV225" s="21"/>
      <c r="AW225" s="21"/>
    </row>
    <row r="226" spans="2:49" x14ac:dyDescent="0.15">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c r="AC226" s="21"/>
      <c r="AD226" s="21"/>
      <c r="AE226" s="21"/>
      <c r="AF226" s="21"/>
      <c r="AG226" s="21"/>
      <c r="AH226" s="21"/>
      <c r="AI226" s="21"/>
      <c r="AJ226" s="21"/>
      <c r="AK226" s="21"/>
      <c r="AL226" s="21"/>
      <c r="AM226" s="21"/>
      <c r="AN226" s="21"/>
      <c r="AO226" s="21"/>
      <c r="AP226" s="21"/>
      <c r="AQ226" s="21"/>
      <c r="AR226" s="21"/>
      <c r="AS226" s="21"/>
      <c r="AT226" s="21"/>
      <c r="AU226" s="21"/>
      <c r="AV226" s="21"/>
      <c r="AW226" s="21"/>
    </row>
    <row r="227" spans="2:49" x14ac:dyDescent="0.15">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c r="AE227" s="21"/>
      <c r="AF227" s="21"/>
      <c r="AG227" s="21"/>
      <c r="AH227" s="21"/>
      <c r="AI227" s="21"/>
      <c r="AJ227" s="21"/>
      <c r="AK227" s="21"/>
      <c r="AL227" s="21"/>
      <c r="AM227" s="21"/>
      <c r="AN227" s="21"/>
      <c r="AO227" s="21"/>
      <c r="AP227" s="21"/>
      <c r="AQ227" s="21"/>
      <c r="AR227" s="21"/>
      <c r="AS227" s="21"/>
      <c r="AT227" s="21"/>
      <c r="AU227" s="21"/>
      <c r="AV227" s="21"/>
      <c r="AW227" s="21"/>
    </row>
    <row r="228" spans="2:49" x14ac:dyDescent="0.15">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c r="AC228" s="21"/>
      <c r="AD228" s="21"/>
      <c r="AE228" s="21"/>
      <c r="AF228" s="21"/>
      <c r="AG228" s="21"/>
      <c r="AH228" s="21"/>
      <c r="AI228" s="21"/>
      <c r="AJ228" s="21"/>
      <c r="AK228" s="21"/>
      <c r="AL228" s="21"/>
      <c r="AM228" s="21"/>
      <c r="AN228" s="21"/>
      <c r="AO228" s="21"/>
      <c r="AP228" s="21"/>
      <c r="AQ228" s="21"/>
      <c r="AR228" s="21"/>
      <c r="AS228" s="21"/>
      <c r="AT228" s="21"/>
      <c r="AU228" s="21"/>
      <c r="AV228" s="21"/>
      <c r="AW228" s="21"/>
    </row>
    <row r="229" spans="2:49" x14ac:dyDescent="0.15">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c r="AC229" s="21"/>
      <c r="AD229" s="21"/>
      <c r="AE229" s="21"/>
      <c r="AF229" s="21"/>
      <c r="AG229" s="21"/>
      <c r="AH229" s="21"/>
      <c r="AI229" s="21"/>
      <c r="AJ229" s="21"/>
      <c r="AK229" s="21"/>
      <c r="AL229" s="21"/>
      <c r="AM229" s="21"/>
      <c r="AN229" s="21"/>
      <c r="AO229" s="21"/>
      <c r="AP229" s="21"/>
      <c r="AQ229" s="21"/>
      <c r="AR229" s="21"/>
      <c r="AS229" s="21"/>
      <c r="AT229" s="21"/>
      <c r="AU229" s="21"/>
      <c r="AV229" s="21"/>
      <c r="AW229" s="21"/>
    </row>
    <row r="230" spans="2:49" x14ac:dyDescent="0.15">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c r="AC230" s="21"/>
      <c r="AD230" s="21"/>
      <c r="AE230" s="21"/>
      <c r="AF230" s="21"/>
      <c r="AG230" s="21"/>
      <c r="AH230" s="21"/>
      <c r="AI230" s="21"/>
      <c r="AJ230" s="21"/>
      <c r="AK230" s="21"/>
      <c r="AL230" s="21"/>
      <c r="AM230" s="21"/>
      <c r="AN230" s="21"/>
      <c r="AO230" s="21"/>
      <c r="AP230" s="21"/>
      <c r="AQ230" s="21"/>
      <c r="AR230" s="21"/>
      <c r="AS230" s="21"/>
      <c r="AT230" s="21"/>
      <c r="AU230" s="21"/>
      <c r="AV230" s="21"/>
      <c r="AW230" s="21"/>
    </row>
    <row r="231" spans="2:49" x14ac:dyDescent="0.15">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c r="AC231" s="21"/>
      <c r="AD231" s="21"/>
      <c r="AE231" s="21"/>
      <c r="AF231" s="21"/>
      <c r="AG231" s="21"/>
      <c r="AH231" s="21"/>
      <c r="AI231" s="21"/>
      <c r="AJ231" s="21"/>
      <c r="AK231" s="21"/>
      <c r="AL231" s="21"/>
      <c r="AM231" s="21"/>
      <c r="AN231" s="21"/>
      <c r="AO231" s="21"/>
      <c r="AP231" s="21"/>
      <c r="AQ231" s="21"/>
      <c r="AR231" s="21"/>
      <c r="AS231" s="21"/>
      <c r="AT231" s="21"/>
      <c r="AU231" s="21"/>
      <c r="AV231" s="21"/>
      <c r="AW231" s="21"/>
    </row>
  </sheetData>
  <mergeCells count="14">
    <mergeCell ref="B3:B4"/>
    <mergeCell ref="C3:L3"/>
    <mergeCell ref="C4:D4"/>
    <mergeCell ref="E4:F4"/>
    <mergeCell ref="G4:H4"/>
    <mergeCell ref="I4:J4"/>
    <mergeCell ref="K4:L4"/>
    <mergeCell ref="B20:B21"/>
    <mergeCell ref="C20:L20"/>
    <mergeCell ref="C21:D21"/>
    <mergeCell ref="E21:F21"/>
    <mergeCell ref="G21:H21"/>
    <mergeCell ref="I21:J21"/>
    <mergeCell ref="K21:L21"/>
  </mergeCells>
  <phoneticPr fontId="2"/>
  <printOptions horizontalCentered="1"/>
  <pageMargins left="0.70866141732283472" right="0.70866141732283472" top="0.74803149606299213" bottom="0.74803149606299213" header="0.31496062992125984" footer="0.31496062992125984"/>
  <pageSetup paperSize="9" scale="8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Button 1">
              <controlPr defaultSize="0" print="0" autoFill="0" autoPict="0" macro="[0]!データ削除_年齢階層在院期間区分F02F09">
                <anchor moveWithCells="1" sizeWithCells="1">
                  <from>
                    <xdr:col>31</xdr:col>
                    <xdr:colOff>447675</xdr:colOff>
                    <xdr:row>3</xdr:row>
                    <xdr:rowOff>180975</xdr:rowOff>
                  </from>
                  <to>
                    <xdr:col>34</xdr:col>
                    <xdr:colOff>333375</xdr:colOff>
                    <xdr:row>6</xdr:row>
                    <xdr:rowOff>0</xdr:rowOff>
                  </to>
                </anchor>
              </controlPr>
            </control>
          </mc:Choice>
        </mc:AlternateContent>
      </controls>
    </mc:Choice>
  </mc:AlternateContent>
  <tableParts count="4">
    <tablePart r:id="rId5"/>
    <tablePart r:id="rId6"/>
    <tablePart r:id="rId7"/>
    <tablePart r:id="rId8"/>
  </tablePart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tabColor rgb="FFFF0000"/>
    <pageSetUpPr fitToPage="1"/>
  </sheetPr>
  <dimension ref="B1:BC41"/>
  <sheetViews>
    <sheetView showGridLines="0" view="pageBreakPreview" topLeftCell="F1" zoomScaleNormal="100" zoomScaleSheetLayoutView="100" workbookViewId="0">
      <selection activeCell="O1" sqref="O1:BC1048576"/>
    </sheetView>
  </sheetViews>
  <sheetFormatPr defaultRowHeight="18.75" x14ac:dyDescent="0.15"/>
  <cols>
    <col min="1" max="1" width="4" style="1" customWidth="1"/>
    <col min="2" max="2" width="12.5" style="1" customWidth="1"/>
    <col min="3" max="12" width="8.75" style="1" customWidth="1"/>
    <col min="13" max="13" width="16.5" style="1" customWidth="1"/>
    <col min="14" max="14" width="2.5" style="1" customWidth="1"/>
    <col min="15" max="15" width="17.75" style="1" hidden="1" customWidth="1"/>
    <col min="16" max="31" width="11.125" style="1" hidden="1" customWidth="1"/>
    <col min="32" max="55" width="9" style="1" hidden="1" customWidth="1"/>
    <col min="56" max="16384" width="9" style="1"/>
  </cols>
  <sheetData>
    <row r="1" spans="2:54" ht="19.5" customHeight="1" x14ac:dyDescent="0.15">
      <c r="B1" s="2" t="s">
        <v>157</v>
      </c>
    </row>
    <row r="2" spans="2:54" ht="18.75" customHeight="1" thickBot="1" x14ac:dyDescent="0.2">
      <c r="B2" s="961" t="s">
        <v>65</v>
      </c>
      <c r="C2" s="963" t="s">
        <v>64</v>
      </c>
      <c r="D2" s="964"/>
      <c r="E2" s="964"/>
      <c r="F2" s="964"/>
      <c r="G2" s="964"/>
      <c r="H2" s="964"/>
      <c r="I2" s="964"/>
      <c r="J2" s="964"/>
      <c r="K2" s="964"/>
      <c r="L2" s="965"/>
      <c r="O2" s="33" t="s">
        <v>63</v>
      </c>
    </row>
    <row r="3" spans="2:54" ht="18.75" customHeight="1" thickTop="1" thickBot="1" x14ac:dyDescent="0.2">
      <c r="B3" s="962"/>
      <c r="C3" s="966" t="s">
        <v>69</v>
      </c>
      <c r="D3" s="967"/>
      <c r="E3" s="966" t="s">
        <v>70</v>
      </c>
      <c r="F3" s="967"/>
      <c r="G3" s="966" t="s">
        <v>71</v>
      </c>
      <c r="H3" s="967"/>
      <c r="I3" s="966" t="s">
        <v>72</v>
      </c>
      <c r="J3" s="967"/>
      <c r="K3" s="966" t="s">
        <v>62</v>
      </c>
      <c r="L3" s="967"/>
      <c r="O3" s="425" t="s">
        <v>373</v>
      </c>
      <c r="P3" s="474" t="s">
        <v>182</v>
      </c>
      <c r="Q3" s="474" t="s">
        <v>183</v>
      </c>
      <c r="R3" s="474" t="s">
        <v>184</v>
      </c>
      <c r="S3" s="474" t="s">
        <v>185</v>
      </c>
      <c r="T3" s="474" t="s">
        <v>186</v>
      </c>
      <c r="U3" s="474" t="s">
        <v>187</v>
      </c>
      <c r="V3" s="474" t="s">
        <v>188</v>
      </c>
      <c r="W3" s="474" t="s">
        <v>189</v>
      </c>
      <c r="X3" s="474" t="s">
        <v>190</v>
      </c>
      <c r="Y3" s="474" t="s">
        <v>191</v>
      </c>
      <c r="Z3" s="474" t="s">
        <v>192</v>
      </c>
      <c r="AA3" s="474" t="s">
        <v>193</v>
      </c>
      <c r="AB3" s="474" t="s">
        <v>194</v>
      </c>
      <c r="AC3" s="474" t="s">
        <v>195</v>
      </c>
      <c r="AD3" s="474" t="s">
        <v>196</v>
      </c>
      <c r="AE3" s="473" t="s">
        <v>197</v>
      </c>
      <c r="AM3" s="473" t="s">
        <v>182</v>
      </c>
      <c r="AN3" s="474" t="s">
        <v>183</v>
      </c>
      <c r="AO3" s="474" t="s">
        <v>184</v>
      </c>
      <c r="AP3" s="474" t="s">
        <v>185</v>
      </c>
      <c r="AQ3" s="474" t="s">
        <v>186</v>
      </c>
      <c r="AR3" s="474" t="s">
        <v>187</v>
      </c>
      <c r="AS3" s="474" t="s">
        <v>188</v>
      </c>
      <c r="AT3" s="474" t="s">
        <v>189</v>
      </c>
      <c r="AU3" s="474" t="s">
        <v>190</v>
      </c>
      <c r="AV3" s="474" t="s">
        <v>191</v>
      </c>
      <c r="AW3" s="474" t="s">
        <v>192</v>
      </c>
      <c r="AX3" s="474" t="s">
        <v>193</v>
      </c>
      <c r="AY3" s="474" t="s">
        <v>194</v>
      </c>
      <c r="AZ3" s="474" t="s">
        <v>195</v>
      </c>
      <c r="BA3" s="474" t="s">
        <v>196</v>
      </c>
      <c r="BB3" s="473" t="s">
        <v>197</v>
      </c>
    </row>
    <row r="4" spans="2:54" ht="18.75" customHeight="1" thickTop="1" x14ac:dyDescent="0.15">
      <c r="B4" s="225" t="s">
        <v>2</v>
      </c>
      <c r="C4" s="226">
        <f>IFERROR(INDEX(年齢階層×在院期間区分F3[#All],MATCH($AL4,年齢階層×在院期間区分F3[[#All],[行ラベル]],0),MATCH($AM$3,年齢階層×在院期間区分F3[#Headers],0)),0)+IFERROR(INDEX(年齢階層×在院期間区分F3[#All],MATCH($AL4,年齢階層×在院期間区分F3[[#All],[行ラベル]],0),MATCH($AN$3,年齢階層×在院期間区分F3[#Headers],0)),0)+IFERROR(INDEX(年齢階層×在院期間区分F3[#All],MATCH($AL4,年齢階層×在院期間区分F3[[#All],[行ラベル]],0),MATCH($AO$3,年齢階層×在院期間区分F3[#Headers],0)),0)+IFERROR(INDEX(年齢階層×在院期間区分F3[#All],MATCH($AL4,年齢階層×在院期間区分F3[[#All],[行ラベル]],0),MATCH($AP$3,年齢階層×在院期間区分F3[#Headers],0)),0)</f>
        <v>20</v>
      </c>
      <c r="D4" s="221">
        <f t="shared" ref="D4:D12" si="0">IFERROR(C4/$C$13,"-")</f>
        <v>2.2026431718061675E-2</v>
      </c>
      <c r="E4" s="226">
        <f>IFERROR(INDEX(年齢階層×在院期間区分F3[#All],MATCH($AL4,年齢階層×在院期間区分F3[[#All],[行ラベル]],0),MATCH($AQ$3,年齢階層×在院期間区分F3[#Headers],0)),0)+IFERROR(INDEX(年齢階層×在院期間区分F3[#All],MATCH($AL4,年齢階層×在院期間区分F3[[#All],[行ラベル]],0),MATCH($AR$3,年齢階層×在院期間区分F3[#Headers],0)),0)+IFERROR(INDEX(年齢階層×在院期間区分F3[#All],MATCH($AL4,年齢階層×在院期間区分F3[[#All],[行ラベル]],0),MATCH($AS$3,年齢階層×在院期間区分F3[#Headers],0)),0)+IFERROR(INDEX(年齢階層×在院期間区分F3[#All],MATCH($AL4,年齢階層×在院期間区分F3[[#All],[行ラベル]],0),MATCH($AT$3,年齢階層×在院期間区分F3[#Headers],0)),0)+IFERROR(INDEX(年齢階層×在院期間区分F3[#All],MATCH($AL4,年齢階層×在院期間区分F3[[#All],[行ラベル]],0),MATCH($AU$3,年齢階層×在院期間区分F3[#Headers],0)),0)</f>
        <v>2</v>
      </c>
      <c r="F4" s="221">
        <f t="shared" ref="F4:F12" si="1">IFERROR(E4/$E$13,"-")</f>
        <v>4.830917874396135E-3</v>
      </c>
      <c r="G4" s="220">
        <f>IFERROR(INDEX(年齢階層×在院期間区分F3[#All],MATCH($AL4,年齢階層×在院期間区分F3[[#All],[行ラベル]],0),MATCH($AV$3,年齢階層×在院期間区分F3[#Headers],0)),0)+IFERROR(INDEX(年齢階層×在院期間区分F3[#All],MATCH($AL4,年齢階層×在院期間区分F3[[#All],[行ラベル]],0),MATCH($AW$3,年齢階層×在院期間区分F3[#Headers],0)),0)+IFERROR(INDEX(年齢階層×在院期間区分F3[#All],MATCH($AL4,年齢階層×在院期間区分F3[[#All],[行ラベル]],0),MATCH($AX$3,年齢階層×在院期間区分F3[#Headers],0)),0)+IFERROR(INDEX(年齢階層×在院期間区分F3[#All],MATCH($AL4,年齢階層×在院期間区分F3[[#All],[行ラベル]],0),MATCH($AY$3,年齢階層×在院期間区分F3[#Headers],0)),0)+IFERROR(INDEX(年齢階層×在院期間区分F3[#All],MATCH($AL4,年齢階層×在院期間区分F3[[#All],[行ラベル]],0),MATCH($AZ$3,年齢階層×在院期間区分F3[#Headers],0)),0)</f>
        <v>0</v>
      </c>
      <c r="H4" s="221">
        <f t="shared" ref="H4:H12" si="2">IFERROR(G4/$G$13,"-")</f>
        <v>0</v>
      </c>
      <c r="I4" s="226">
        <f>IFERROR(INDEX(年齢階層×在院期間区分F3[#All],MATCH($AL4,年齢階層×在院期間区分F3[[#All],[行ラベル]],0),MATCH($BA$3,年齢階層×在院期間区分F3[#Headers],0)),0)+IFERROR(INDEX(年齢階層×在院期間区分F3[#All],MATCH($AL4,年齢階層×在院期間区分F3[[#All],[行ラベル]],0),MATCH($BB$3,年齢階層×在院期間区分F3[#Headers],0)),0)</f>
        <v>0</v>
      </c>
      <c r="J4" s="221">
        <f t="shared" ref="J4:J12" si="3">IFERROR(I4/$I$13,"-")</f>
        <v>0</v>
      </c>
      <c r="K4" s="220">
        <f t="shared" ref="K4:K12" si="4">SUM(C4,E4,G4,I4)</f>
        <v>22</v>
      </c>
      <c r="L4" s="221">
        <f t="shared" ref="L4:L12" si="5">IFERROR(K4/$K$13,"-")</f>
        <v>1.4350945857795172E-2</v>
      </c>
      <c r="O4" s="53" t="s">
        <v>2</v>
      </c>
      <c r="P4" s="65">
        <v>10</v>
      </c>
      <c r="Q4" s="65">
        <v>8</v>
      </c>
      <c r="R4" s="65">
        <v>0</v>
      </c>
      <c r="S4" s="65">
        <v>2</v>
      </c>
      <c r="T4" s="65">
        <v>2</v>
      </c>
      <c r="U4" s="65">
        <v>0</v>
      </c>
      <c r="V4" s="65">
        <v>0</v>
      </c>
      <c r="W4" s="65">
        <v>0</v>
      </c>
      <c r="X4" s="65">
        <v>0</v>
      </c>
      <c r="Y4" s="65">
        <v>0</v>
      </c>
      <c r="Z4" s="65">
        <v>0</v>
      </c>
      <c r="AA4" s="65">
        <v>0</v>
      </c>
      <c r="AB4" s="65">
        <v>0</v>
      </c>
      <c r="AC4" s="65">
        <v>0</v>
      </c>
      <c r="AD4" s="65">
        <v>0</v>
      </c>
      <c r="AE4" s="65">
        <v>0</v>
      </c>
      <c r="AF4" s="21"/>
      <c r="AG4" s="21"/>
      <c r="AL4" s="53" t="s">
        <v>2</v>
      </c>
      <c r="AM4" s="66"/>
      <c r="AP4" s="66"/>
    </row>
    <row r="5" spans="2:54" ht="18.75" customHeight="1" x14ac:dyDescent="0.15">
      <c r="B5" s="227" t="s">
        <v>3</v>
      </c>
      <c r="C5" s="228">
        <f>IFERROR(INDEX(年齢階層×在院期間区分F3[#All],MATCH($AL5,年齢階層×在院期間区分F3[[#All],[行ラベル]],0),MATCH($AM$3,年齢階層×在院期間区分F3[#Headers],0)),0)+IFERROR(INDEX(年齢階層×在院期間区分F3[#All],MATCH($AL5,年齢階層×在院期間区分F3[[#All],[行ラベル]],0),MATCH($AN$3,年齢階層×在院期間区分F3[#Headers],0)),0)+IFERROR(INDEX(年齢階層×在院期間区分F3[#All],MATCH($AL5,年齢階層×在院期間区分F3[[#All],[行ラベル]],0),MATCH($AO$3,年齢階層×在院期間区分F3[#Headers],0)),0)+IFERROR(INDEX(年齢階層×在院期間区分F3[#All],MATCH($AL5,年齢階層×在院期間区分F3[[#All],[行ラベル]],0),MATCH($AP$3,年齢階層×在院期間区分F3[#Headers],0)),0)</f>
        <v>52</v>
      </c>
      <c r="D5" s="206">
        <f t="shared" si="0"/>
        <v>5.7268722466960353E-2</v>
      </c>
      <c r="E5" s="228">
        <f>IFERROR(INDEX(年齢階層×在院期間区分F3[#All],MATCH($AL5,年齢階層×在院期間区分F3[[#All],[行ラベル]],0),MATCH($AQ$3,年齢階層×在院期間区分F3[#Headers],0)),0)+IFERROR(INDEX(年齢階層×在院期間区分F3[#All],MATCH($AL5,年齢階層×在院期間区分F3[[#All],[行ラベル]],0),MATCH($AR$3,年齢階層×在院期間区分F3[#Headers],0)),0)+IFERROR(INDEX(年齢階層×在院期間区分F3[#All],MATCH($AL5,年齢階層×在院期間区分F3[[#All],[行ラベル]],0),MATCH($AS$3,年齢階層×在院期間区分F3[#Headers],0)),0)+IFERROR(INDEX(年齢階層×在院期間区分F3[#All],MATCH($AL5,年齢階層×在院期間区分F3[[#All],[行ラベル]],0),MATCH($AT$3,年齢階層×在院期間区分F3[#Headers],0)),0)+IFERROR(INDEX(年齢階層×在院期間区分F3[#All],MATCH($AL5,年齢階層×在院期間区分F3[[#All],[行ラベル]],0),MATCH($AU$3,年齢階層×在院期間区分F3[#Headers],0)),0)</f>
        <v>0</v>
      </c>
      <c r="F5" s="206">
        <f t="shared" si="1"/>
        <v>0</v>
      </c>
      <c r="G5" s="205">
        <f>IFERROR(INDEX(年齢階層×在院期間区分F3[#All],MATCH($AL5,年齢階層×在院期間区分F3[[#All],[行ラベル]],0),MATCH($AV$3,年齢階層×在院期間区分F3[#Headers],0)),0)+IFERROR(INDEX(年齢階層×在院期間区分F3[#All],MATCH($AL5,年齢階層×在院期間区分F3[[#All],[行ラベル]],0),MATCH($AW$3,年齢階層×在院期間区分F3[#Headers],0)),0)+IFERROR(INDEX(年齢階層×在院期間区分F3[#All],MATCH($AL5,年齢階層×在院期間区分F3[[#All],[行ラベル]],0),MATCH($AX$3,年齢階層×在院期間区分F3[#Headers],0)),0)+IFERROR(INDEX(年齢階層×在院期間区分F3[#All],MATCH($AL5,年齢階層×在院期間区分F3[[#All],[行ラベル]],0),MATCH($AY$3,年齢階層×在院期間区分F3[#Headers],0)),0)+IFERROR(INDEX(年齢階層×在院期間区分F3[#All],MATCH($AL5,年齢階層×在院期間区分F3[[#All],[行ラベル]],0),MATCH($AZ$3,年齢階層×在院期間区分F3[#Headers],0)),0)</f>
        <v>0</v>
      </c>
      <c r="H5" s="206">
        <f t="shared" si="2"/>
        <v>0</v>
      </c>
      <c r="I5" s="228">
        <f>IFERROR(INDEX(年齢階層×在院期間区分F3[#All],MATCH($AL5,年齢階層×在院期間区分F3[[#All],[行ラベル]],0),MATCH($BA$3,年齢階層×在院期間区分F3[#Headers],0)),0)+IFERROR(INDEX(年齢階層×在院期間区分F3[#All],MATCH($AL5,年齢階層×在院期間区分F3[[#All],[行ラベル]],0),MATCH($BB$3,年齢階層×在院期間区分F3[#Headers],0)),0)</f>
        <v>0</v>
      </c>
      <c r="J5" s="206">
        <f t="shared" si="3"/>
        <v>0</v>
      </c>
      <c r="K5" s="205">
        <f t="shared" si="4"/>
        <v>52</v>
      </c>
      <c r="L5" s="206">
        <f t="shared" si="5"/>
        <v>3.3920417482061316E-2</v>
      </c>
      <c r="O5" s="53" t="s">
        <v>3</v>
      </c>
      <c r="P5" s="65">
        <v>31</v>
      </c>
      <c r="Q5" s="65">
        <v>15</v>
      </c>
      <c r="R5" s="65">
        <v>4</v>
      </c>
      <c r="S5" s="65">
        <v>2</v>
      </c>
      <c r="T5" s="65">
        <v>0</v>
      </c>
      <c r="U5" s="65">
        <v>0</v>
      </c>
      <c r="V5" s="65">
        <v>0</v>
      </c>
      <c r="W5" s="65">
        <v>0</v>
      </c>
      <c r="X5" s="65">
        <v>0</v>
      </c>
      <c r="Y5" s="65">
        <v>0</v>
      </c>
      <c r="Z5" s="65">
        <v>0</v>
      </c>
      <c r="AA5" s="65">
        <v>0</v>
      </c>
      <c r="AB5" s="65">
        <v>0</v>
      </c>
      <c r="AC5" s="65">
        <v>0</v>
      </c>
      <c r="AD5" s="65">
        <v>0</v>
      </c>
      <c r="AE5" s="65">
        <v>0</v>
      </c>
      <c r="AF5" s="21"/>
      <c r="AG5" s="21"/>
      <c r="AL5" s="53" t="s">
        <v>3</v>
      </c>
      <c r="AM5" s="66"/>
      <c r="AN5" s="66"/>
      <c r="AP5" s="66"/>
    </row>
    <row r="6" spans="2:54" ht="18.75" customHeight="1" x14ac:dyDescent="0.15">
      <c r="B6" s="227" t="s">
        <v>4</v>
      </c>
      <c r="C6" s="205">
        <f>IFERROR(INDEX(年齢階層×在院期間区分F3[#All],MATCH($AL6,年齢階層×在院期間区分F3[[#All],[行ラベル]],0),MATCH($AM$3,年齢階層×在院期間区分F3[#Headers],0)),0)+IFERROR(INDEX(年齢階層×在院期間区分F3[#All],MATCH($AL6,年齢階層×在院期間区分F3[[#All],[行ラベル]],0),MATCH($AN$3,年齢階層×在院期間区分F3[#Headers],0)),0)+IFERROR(INDEX(年齢階層×在院期間区分F3[#All],MATCH($AL6,年齢階層×在院期間区分F3[[#All],[行ラベル]],0),MATCH($AO$3,年齢階層×在院期間区分F3[#Headers],0)),0)+IFERROR(INDEX(年齢階層×在院期間区分F3[#All],MATCH($AL6,年齢階層×在院期間区分F3[[#All],[行ラベル]],0),MATCH($AP$3,年齢階層×在院期間区分F3[#Headers],0)),0)</f>
        <v>40</v>
      </c>
      <c r="D6" s="206">
        <f t="shared" si="0"/>
        <v>4.405286343612335E-2</v>
      </c>
      <c r="E6" s="205">
        <f>IFERROR(INDEX(年齢階層×在院期間区分F3[#All],MATCH($AL6,年齢階層×在院期間区分F3[[#All],[行ラベル]],0),MATCH($AQ$3,年齢階層×在院期間区分F3[#Headers],0)),0)+IFERROR(INDEX(年齢階層×在院期間区分F3[#All],MATCH($AL6,年齢階層×在院期間区分F3[[#All],[行ラベル]],0),MATCH($AR$3,年齢階層×在院期間区分F3[#Headers],0)),0)+IFERROR(INDEX(年齢階層×在院期間区分F3[#All],MATCH($AL6,年齢階層×在院期間区分F3[[#All],[行ラベル]],0),MATCH($AS$3,年齢階層×在院期間区分F3[#Headers],0)),0)+IFERROR(INDEX(年齢階層×在院期間区分F3[#All],MATCH($AL6,年齢階層×在院期間区分F3[[#All],[行ラベル]],0),MATCH($AT$3,年齢階層×在院期間区分F3[#Headers],0)),0)+IFERROR(INDEX(年齢階層×在院期間区分F3[#All],MATCH($AL6,年齢階層×在院期間区分F3[[#All],[行ラベル]],0),MATCH($AU$3,年齢階層×在院期間区分F3[#Headers],0)),0)</f>
        <v>2</v>
      </c>
      <c r="F6" s="206">
        <f t="shared" si="1"/>
        <v>4.830917874396135E-3</v>
      </c>
      <c r="G6" s="205">
        <f>IFERROR(INDEX(年齢階層×在院期間区分F3[#All],MATCH($AL6,年齢階層×在院期間区分F3[[#All],[行ラベル]],0),MATCH($AV$3,年齢階層×在院期間区分F3[#Headers],0)),0)+IFERROR(INDEX(年齢階層×在院期間区分F3[#All],MATCH($AL6,年齢階層×在院期間区分F3[[#All],[行ラベル]],0),MATCH($AW$3,年齢階層×在院期間区分F3[#Headers],0)),0)+IFERROR(INDEX(年齢階層×在院期間区分F3[#All],MATCH($AL6,年齢階層×在院期間区分F3[[#All],[行ラベル]],0),MATCH($AX$3,年齢階層×在院期間区分F3[#Headers],0)),0)+IFERROR(INDEX(年齢階層×在院期間区分F3[#All],MATCH($AL6,年齢階層×在院期間区分F3[[#All],[行ラベル]],0),MATCH($AY$3,年齢階層×在院期間区分F3[#Headers],0)),0)+IFERROR(INDEX(年齢階層×在院期間区分F3[#All],MATCH($AL6,年齢階層×在院期間区分F3[[#All],[行ラベル]],0),MATCH($AZ$3,年齢階層×在院期間区分F3[#Headers],0)),0)</f>
        <v>0</v>
      </c>
      <c r="H6" s="206">
        <f t="shared" si="2"/>
        <v>0</v>
      </c>
      <c r="I6" s="228">
        <f>IFERROR(INDEX(年齢階層×在院期間区分F3[#All],MATCH($AL6,年齢階層×在院期間区分F3[[#All],[行ラベル]],0),MATCH($BA$3,年齢階層×在院期間区分F3[#Headers],0)),0)+IFERROR(INDEX(年齢階層×在院期間区分F3[#All],MATCH($AL6,年齢階層×在院期間区分F3[[#All],[行ラベル]],0),MATCH($BB$3,年齢階層×在院期間区分F3[#Headers],0)),0)</f>
        <v>1</v>
      </c>
      <c r="J6" s="206">
        <f t="shared" si="3"/>
        <v>1.4705882352941176E-2</v>
      </c>
      <c r="K6" s="205">
        <f t="shared" si="4"/>
        <v>43</v>
      </c>
      <c r="L6" s="206">
        <f t="shared" si="5"/>
        <v>2.8049575994781473E-2</v>
      </c>
      <c r="O6" s="53" t="s">
        <v>4</v>
      </c>
      <c r="P6" s="65">
        <v>17</v>
      </c>
      <c r="Q6" s="65">
        <v>20</v>
      </c>
      <c r="R6" s="65">
        <v>2</v>
      </c>
      <c r="S6" s="65">
        <v>1</v>
      </c>
      <c r="T6" s="65">
        <v>1</v>
      </c>
      <c r="U6" s="65">
        <v>0</v>
      </c>
      <c r="V6" s="65">
        <v>1</v>
      </c>
      <c r="W6" s="65">
        <v>0</v>
      </c>
      <c r="X6" s="65">
        <v>0</v>
      </c>
      <c r="Y6" s="65">
        <v>0</v>
      </c>
      <c r="Z6" s="65">
        <v>0</v>
      </c>
      <c r="AA6" s="65">
        <v>0</v>
      </c>
      <c r="AB6" s="65">
        <v>0</v>
      </c>
      <c r="AC6" s="65">
        <v>0</v>
      </c>
      <c r="AD6" s="65">
        <v>1</v>
      </c>
      <c r="AE6" s="65">
        <v>0</v>
      </c>
      <c r="AF6" s="21"/>
      <c r="AG6" s="21"/>
      <c r="AL6" s="53" t="s">
        <v>4</v>
      </c>
      <c r="AM6" s="66"/>
      <c r="AN6" s="66"/>
      <c r="AP6" s="66"/>
    </row>
    <row r="7" spans="2:54" ht="18.75" customHeight="1" x14ac:dyDescent="0.15">
      <c r="B7" s="227" t="s">
        <v>5</v>
      </c>
      <c r="C7" s="205">
        <f>IFERROR(INDEX(年齢階層×在院期間区分F3[#All],MATCH($AL7,年齢階層×在院期間区分F3[[#All],[行ラベル]],0),MATCH($AM$3,年齢階層×在院期間区分F3[#Headers],0)),0)+IFERROR(INDEX(年齢階層×在院期間区分F3[#All],MATCH($AL7,年齢階層×在院期間区分F3[[#All],[行ラベル]],0),MATCH($AN$3,年齢階層×在院期間区分F3[#Headers],0)),0)+IFERROR(INDEX(年齢階層×在院期間区分F3[#All],MATCH($AL7,年齢階層×在院期間区分F3[[#All],[行ラベル]],0),MATCH($AO$3,年齢階層×在院期間区分F3[#Headers],0)),0)+IFERROR(INDEX(年齢階層×在院期間区分F3[#All],MATCH($AL7,年齢階層×在院期間区分F3[[#All],[行ラベル]],0),MATCH($AP$3,年齢階層×在院期間区分F3[#Headers],0)),0)</f>
        <v>103</v>
      </c>
      <c r="D7" s="206">
        <f t="shared" si="0"/>
        <v>0.11343612334801761</v>
      </c>
      <c r="E7" s="229">
        <f>IFERROR(INDEX(年齢階層×在院期間区分F3[#All],MATCH($AL7,年齢階層×在院期間区分F3[[#All],[行ラベル]],0),MATCH($AQ$3,年齢階層×在院期間区分F3[#Headers],0)),0)+IFERROR(INDEX(年齢階層×在院期間区分F3[#All],MATCH($AL7,年齢階層×在院期間区分F3[[#All],[行ラベル]],0),MATCH($AR$3,年齢階層×在院期間区分F3[#Headers],0)),0)+IFERROR(INDEX(年齢階層×在院期間区分F3[#All],MATCH($AL7,年齢階層×在院期間区分F3[[#All],[行ラベル]],0),MATCH($AS$3,年齢階層×在院期間区分F3[#Headers],0)),0)+IFERROR(INDEX(年齢階層×在院期間区分F3[#All],MATCH($AL7,年齢階層×在院期間区分F3[[#All],[行ラベル]],0),MATCH($AT$3,年齢階層×在院期間区分F3[#Headers],0)),0)+IFERROR(INDEX(年齢階層×在院期間区分F3[#All],MATCH($AL7,年齢階層×在院期間区分F3[[#All],[行ラベル]],0),MATCH($AU$3,年齢階層×在院期間区分F3[#Headers],0)),0)</f>
        <v>7</v>
      </c>
      <c r="F7" s="206">
        <f t="shared" si="1"/>
        <v>1.6908212560386472E-2</v>
      </c>
      <c r="G7" s="229">
        <f>IFERROR(INDEX(年齢階層×在院期間区分F3[#All],MATCH($AL7,年齢階層×在院期間区分F3[[#All],[行ラベル]],0),MATCH($AV$3,年齢階層×在院期間区分F3[#Headers],0)),0)+IFERROR(INDEX(年齢階層×在院期間区分F3[#All],MATCH($AL7,年齢階層×在院期間区分F3[[#All],[行ラベル]],0),MATCH($AW$3,年齢階層×在院期間区分F3[#Headers],0)),0)+IFERROR(INDEX(年齢階層×在院期間区分F3[#All],MATCH($AL7,年齢階層×在院期間区分F3[[#All],[行ラベル]],0),MATCH($AX$3,年齢階層×在院期間区分F3[#Headers],0)),0)+IFERROR(INDEX(年齢階層×在院期間区分F3[#All],MATCH($AL7,年齢階層×在院期間区分F3[[#All],[行ラベル]],0),MATCH($AY$3,年齢階層×在院期間区分F3[#Headers],0)),0)+IFERROR(INDEX(年齢階層×在院期間区分F3[#All],MATCH($AL7,年齢階層×在院期間区分F3[[#All],[行ラベル]],0),MATCH($AZ$3,年齢階層×在院期間区分F3[#Headers],0)),0)</f>
        <v>3</v>
      </c>
      <c r="H7" s="206">
        <f t="shared" si="2"/>
        <v>2.097902097902098E-2</v>
      </c>
      <c r="I7" s="205">
        <f>IFERROR(INDEX(年齢階層×在院期間区分F3[#All],MATCH($AL7,年齢階層×在院期間区分F3[[#All],[行ラベル]],0),MATCH($BA$3,年齢階層×在院期間区分F3[#Headers],0)),0)+IFERROR(INDEX(年齢階層×在院期間区分F3[#All],MATCH($AL7,年齢階層×在院期間区分F3[[#All],[行ラベル]],0),MATCH($BB$3,年齢階層×在院期間区分F3[#Headers],0)),0)</f>
        <v>1</v>
      </c>
      <c r="J7" s="206">
        <f t="shared" si="3"/>
        <v>1.4705882352941176E-2</v>
      </c>
      <c r="K7" s="205">
        <f t="shared" si="4"/>
        <v>114</v>
      </c>
      <c r="L7" s="206">
        <f t="shared" si="5"/>
        <v>7.4363992172211346E-2</v>
      </c>
      <c r="O7" s="53" t="s">
        <v>5</v>
      </c>
      <c r="P7" s="65">
        <v>42</v>
      </c>
      <c r="Q7" s="65">
        <v>43</v>
      </c>
      <c r="R7" s="65">
        <v>9</v>
      </c>
      <c r="S7" s="65">
        <v>9</v>
      </c>
      <c r="T7" s="65">
        <v>0</v>
      </c>
      <c r="U7" s="65">
        <v>2</v>
      </c>
      <c r="V7" s="65">
        <v>2</v>
      </c>
      <c r="W7" s="65">
        <v>2</v>
      </c>
      <c r="X7" s="65">
        <v>1</v>
      </c>
      <c r="Y7" s="65">
        <v>0</v>
      </c>
      <c r="Z7" s="65">
        <v>1</v>
      </c>
      <c r="AA7" s="65">
        <v>1</v>
      </c>
      <c r="AB7" s="65">
        <v>0</v>
      </c>
      <c r="AC7" s="65">
        <v>1</v>
      </c>
      <c r="AD7" s="65">
        <v>0</v>
      </c>
      <c r="AE7" s="65">
        <v>1</v>
      </c>
      <c r="AF7" s="21"/>
      <c r="AG7" s="21"/>
      <c r="AL7" s="53" t="s">
        <v>5</v>
      </c>
      <c r="AM7" s="66"/>
      <c r="AN7" s="66"/>
      <c r="AP7" s="66"/>
    </row>
    <row r="8" spans="2:54" ht="18.75" customHeight="1" x14ac:dyDescent="0.15">
      <c r="B8" s="227" t="s">
        <v>6</v>
      </c>
      <c r="C8" s="229">
        <f>IFERROR(INDEX(年齢階層×在院期間区分F3[#All],MATCH($AL8,年齢階層×在院期間区分F3[[#All],[行ラベル]],0),MATCH($AM$3,年齢階層×在院期間区分F3[#Headers],0)),0)+IFERROR(INDEX(年齢階層×在院期間区分F3[#All],MATCH($AL8,年齢階層×在院期間区分F3[[#All],[行ラベル]],0),MATCH($AN$3,年齢階層×在院期間区分F3[#Headers],0)),0)+IFERROR(INDEX(年齢階層×在院期間区分F3[#All],MATCH($AL8,年齢階層×在院期間区分F3[[#All],[行ラベル]],0),MATCH($AO$3,年齢階層×在院期間区分F3[#Headers],0)),0)+IFERROR(INDEX(年齢階層×在院期間区分F3[#All],MATCH($AL8,年齢階層×在院期間区分F3[[#All],[行ラベル]],0),MATCH($AP$3,年齢階層×在院期間区分F3[#Headers],0)),0)</f>
        <v>145</v>
      </c>
      <c r="D8" s="206">
        <f t="shared" si="0"/>
        <v>0.15969162995594713</v>
      </c>
      <c r="E8" s="228">
        <f>IFERROR(INDEX(年齢階層×在院期間区分F3[#All],MATCH($AL8,年齢階層×在院期間区分F3[[#All],[行ラベル]],0),MATCH($AQ$3,年齢階層×在院期間区分F3[#Headers],0)),0)+IFERROR(INDEX(年齢階層×在院期間区分F3[#All],MATCH($AL8,年齢階層×在院期間区分F3[[#All],[行ラベル]],0),MATCH($AR$3,年齢階層×在院期間区分F3[#Headers],0)),0)+IFERROR(INDEX(年齢階層×在院期間区分F3[#All],MATCH($AL8,年齢階層×在院期間区分F3[[#All],[行ラベル]],0),MATCH($AS$3,年齢階層×在院期間区分F3[#Headers],0)),0)+IFERROR(INDEX(年齢階層×在院期間区分F3[#All],MATCH($AL8,年齢階層×在院期間区分F3[[#All],[行ラベル]],0),MATCH($AT$3,年齢階層×在院期間区分F3[#Headers],0)),0)+IFERROR(INDEX(年齢階層×在院期間区分F3[#All],MATCH($AL8,年齢階層×在院期間区分F3[[#All],[行ラベル]],0),MATCH($AU$3,年齢階層×在院期間区分F3[#Headers],0)),0)</f>
        <v>36</v>
      </c>
      <c r="F8" s="206">
        <f t="shared" si="1"/>
        <v>8.6956521739130432E-2</v>
      </c>
      <c r="G8" s="205">
        <f>IFERROR(INDEX(年齢階層×在院期間区分F3[#All],MATCH($AL8,年齢階層×在院期間区分F3[[#All],[行ラベル]],0),MATCH($AV$3,年齢階層×在院期間区分F3[#Headers],0)),0)+IFERROR(INDEX(年齢階層×在院期間区分F3[#All],MATCH($AL8,年齢階層×在院期間区分F3[[#All],[行ラベル]],0),MATCH($AW$3,年齢階層×在院期間区分F3[#Headers],0)),0)+IFERROR(INDEX(年齢階層×在院期間区分F3[#All],MATCH($AL8,年齢階層×在院期間区分F3[[#All],[行ラベル]],0),MATCH($AX$3,年齢階層×在院期間区分F3[#Headers],0)),0)+IFERROR(INDEX(年齢階層×在院期間区分F3[#All],MATCH($AL8,年齢階層×在院期間区分F3[[#All],[行ラベル]],0),MATCH($AY$3,年齢階層×在院期間区分F3[#Headers],0)),0)+IFERROR(INDEX(年齢階層×在院期間区分F3[#All],MATCH($AL8,年齢階層×在院期間区分F3[[#All],[行ラベル]],0),MATCH($AZ$3,年齢階層×在院期間区分F3[#Headers],0)),0)</f>
        <v>16</v>
      </c>
      <c r="H8" s="206">
        <f t="shared" si="2"/>
        <v>0.11188811188811189</v>
      </c>
      <c r="I8" s="205">
        <f>IFERROR(INDEX(年齢階層×在院期間区分F3[#All],MATCH($AL8,年齢階層×在院期間区分F3[[#All],[行ラベル]],0),MATCH($BA$3,年齢階層×在院期間区分F3[#Headers],0)),0)+IFERROR(INDEX(年齢階層×在院期間区分F3[#All],MATCH($AL8,年齢階層×在院期間区分F3[[#All],[行ラベル]],0),MATCH($BB$3,年齢階層×在院期間区分F3[#Headers],0)),0)</f>
        <v>6</v>
      </c>
      <c r="J8" s="206">
        <f t="shared" si="3"/>
        <v>8.8235294117647065E-2</v>
      </c>
      <c r="K8" s="205">
        <f t="shared" si="4"/>
        <v>203</v>
      </c>
      <c r="L8" s="206">
        <f t="shared" si="5"/>
        <v>0.13242009132420091</v>
      </c>
      <c r="O8" s="53" t="s">
        <v>6</v>
      </c>
      <c r="P8" s="65">
        <v>58</v>
      </c>
      <c r="Q8" s="65">
        <v>64</v>
      </c>
      <c r="R8" s="65">
        <v>11</v>
      </c>
      <c r="S8" s="65">
        <v>12</v>
      </c>
      <c r="T8" s="65">
        <v>11</v>
      </c>
      <c r="U8" s="65">
        <v>5</v>
      </c>
      <c r="V8" s="65">
        <v>9</v>
      </c>
      <c r="W8" s="65">
        <v>6</v>
      </c>
      <c r="X8" s="65">
        <v>5</v>
      </c>
      <c r="Y8" s="65">
        <v>5</v>
      </c>
      <c r="Z8" s="65">
        <v>2</v>
      </c>
      <c r="AA8" s="65">
        <v>2</v>
      </c>
      <c r="AB8" s="65">
        <v>3</v>
      </c>
      <c r="AC8" s="65">
        <v>4</v>
      </c>
      <c r="AD8" s="65">
        <v>6</v>
      </c>
      <c r="AE8" s="65">
        <v>0</v>
      </c>
      <c r="AF8" s="21"/>
      <c r="AG8" s="21"/>
      <c r="AL8" s="53" t="s">
        <v>6</v>
      </c>
      <c r="AM8" s="66"/>
      <c r="AN8" s="66"/>
      <c r="AP8" s="66"/>
    </row>
    <row r="9" spans="2:54" ht="18.75" customHeight="1" x14ac:dyDescent="0.15">
      <c r="B9" s="227" t="s">
        <v>7</v>
      </c>
      <c r="C9" s="205">
        <f>IFERROR(INDEX(年齢階層×在院期間区分F3[#All],MATCH($AL9,年齢階層×在院期間区分F3[[#All],[行ラベル]],0),MATCH($AM$3,年齢階層×在院期間区分F3[#Headers],0)),0)+IFERROR(INDEX(年齢階層×在院期間区分F3[#All],MATCH($AL9,年齢階層×在院期間区分F3[[#All],[行ラベル]],0),MATCH($AN$3,年齢階層×在院期間区分F3[#Headers],0)),0)+IFERROR(INDEX(年齢階層×在院期間区分F3[#All],MATCH($AL9,年齢階層×在院期間区分F3[[#All],[行ラベル]],0),MATCH($AO$3,年齢階層×在院期間区分F3[#Headers],0)),0)+IFERROR(INDEX(年齢階層×在院期間区分F3[#All],MATCH($AL9,年齢階層×在院期間区分F3[[#All],[行ラベル]],0),MATCH($AP$3,年齢階層×在院期間区分F3[#Headers],0)),0)</f>
        <v>172</v>
      </c>
      <c r="D9" s="206">
        <f t="shared" si="0"/>
        <v>0.1894273127753304</v>
      </c>
      <c r="E9" s="205">
        <f>IFERROR(INDEX(年齢階層×在院期間区分F3[#All],MATCH($AL9,年齢階層×在院期間区分F3[[#All],[行ラベル]],0),MATCH($AQ$3,年齢階層×在院期間区分F3[#Headers],0)),0)+IFERROR(INDEX(年齢階層×在院期間区分F3[#All],MATCH($AL9,年齢階層×在院期間区分F3[[#All],[行ラベル]],0),MATCH($AR$3,年齢階層×在院期間区分F3[#Headers],0)),0)+IFERROR(INDEX(年齢階層×在院期間区分F3[#All],MATCH($AL9,年齢階層×在院期間区分F3[[#All],[行ラベル]],0),MATCH($AS$3,年齢階層×在院期間区分F3[#Headers],0)),0)+IFERROR(INDEX(年齢階層×在院期間区分F3[#All],MATCH($AL9,年齢階層×在院期間区分F3[[#All],[行ラベル]],0),MATCH($AT$3,年齢階層×在院期間区分F3[#Headers],0)),0)+IFERROR(INDEX(年齢階層×在院期間区分F3[#All],MATCH($AL9,年齢階層×在院期間区分F3[[#All],[行ラベル]],0),MATCH($AU$3,年齢階層×在院期間区分F3[#Headers],0)),0)</f>
        <v>78</v>
      </c>
      <c r="F9" s="206">
        <f t="shared" si="1"/>
        <v>0.18840579710144928</v>
      </c>
      <c r="G9" s="229">
        <f>IFERROR(INDEX(年齢階層×在院期間区分F3[#All],MATCH($AL9,年齢階層×在院期間区分F3[[#All],[行ラベル]],0),MATCH($AV$3,年齢階層×在院期間区分F3[#Headers],0)),0)+IFERROR(INDEX(年齢階層×在院期間区分F3[#All],MATCH($AL9,年齢階層×在院期間区分F3[[#All],[行ラベル]],0),MATCH($AW$3,年齢階層×在院期間区分F3[#Headers],0)),0)+IFERROR(INDEX(年齢階層×在院期間区分F3[#All],MATCH($AL9,年齢階層×在院期間区分F3[[#All],[行ラベル]],0),MATCH($AX$3,年齢階層×在院期間区分F3[#Headers],0)),0)+IFERROR(INDEX(年齢階層×在院期間区分F3[#All],MATCH($AL9,年齢階層×在院期間区分F3[[#All],[行ラベル]],0),MATCH($AY$3,年齢階層×在院期間区分F3[#Headers],0)),0)+IFERROR(INDEX(年齢階層×在院期間区分F3[#All],MATCH($AL9,年齢階層×在院期間区分F3[[#All],[行ラベル]],0),MATCH($AZ$3,年齢階層×在院期間区分F3[#Headers],0)),0)</f>
        <v>28</v>
      </c>
      <c r="H9" s="206">
        <f t="shared" si="2"/>
        <v>0.19580419580419581</v>
      </c>
      <c r="I9" s="229">
        <f>IFERROR(INDEX(年齢階層×在院期間区分F3[#All],MATCH($AL9,年齢階層×在院期間区分F3[[#All],[行ラベル]],0),MATCH($BA$3,年齢階層×在院期間区分F3[#Headers],0)),0)+IFERROR(INDEX(年齢階層×在院期間区分F3[#All],MATCH($AL9,年齢階層×在院期間区分F3[[#All],[行ラベル]],0),MATCH($BB$3,年齢階層×在院期間区分F3[#Headers],0)),0)</f>
        <v>8</v>
      </c>
      <c r="J9" s="206">
        <f t="shared" si="3"/>
        <v>0.11764705882352941</v>
      </c>
      <c r="K9" s="205">
        <f t="shared" si="4"/>
        <v>286</v>
      </c>
      <c r="L9" s="206">
        <f t="shared" si="5"/>
        <v>0.18656229615133724</v>
      </c>
      <c r="O9" s="53" t="s">
        <v>7</v>
      </c>
      <c r="P9" s="65">
        <v>58</v>
      </c>
      <c r="Q9" s="65">
        <v>62</v>
      </c>
      <c r="R9" s="65">
        <v>24</v>
      </c>
      <c r="S9" s="65">
        <v>28</v>
      </c>
      <c r="T9" s="65">
        <v>20</v>
      </c>
      <c r="U9" s="65">
        <v>13</v>
      </c>
      <c r="V9" s="65">
        <v>22</v>
      </c>
      <c r="W9" s="65">
        <v>10</v>
      </c>
      <c r="X9" s="65">
        <v>13</v>
      </c>
      <c r="Y9" s="65">
        <v>5</v>
      </c>
      <c r="Z9" s="65">
        <v>6</v>
      </c>
      <c r="AA9" s="65">
        <v>8</v>
      </c>
      <c r="AB9" s="65">
        <v>6</v>
      </c>
      <c r="AC9" s="65">
        <v>3</v>
      </c>
      <c r="AD9" s="65">
        <v>7</v>
      </c>
      <c r="AE9" s="65">
        <v>1</v>
      </c>
      <c r="AF9" s="21"/>
      <c r="AG9" s="21"/>
      <c r="AL9" s="53" t="s">
        <v>7</v>
      </c>
      <c r="AM9" s="66"/>
      <c r="AN9" s="66"/>
      <c r="AP9" s="66"/>
    </row>
    <row r="10" spans="2:54" ht="18.75" customHeight="1" x14ac:dyDescent="0.15">
      <c r="B10" s="227" t="s">
        <v>8</v>
      </c>
      <c r="C10" s="205">
        <f>IFERROR(INDEX(年齢階層×在院期間区分F3[#All],MATCH($AL10,年齢階層×在院期間区分F3[[#All],[行ラベル]],0),MATCH($AM$3,年齢階層×在院期間区分F3[#Headers],0)),0)+IFERROR(INDEX(年齢階層×在院期間区分F3[#All],MATCH($AL10,年齢階層×在院期間区分F3[[#All],[行ラベル]],0),MATCH($AN$3,年齢階層×在院期間区分F3[#Headers],0)),0)+IFERROR(INDEX(年齢階層×在院期間区分F3[#All],MATCH($AL10,年齢階層×在院期間区分F3[[#All],[行ラベル]],0),MATCH($AO$3,年齢階層×在院期間区分F3[#Headers],0)),0)+IFERROR(INDEX(年齢階層×在院期間区分F3[#All],MATCH($AL10,年齢階層×在院期間区分F3[[#All],[行ラベル]],0),MATCH($AP$3,年齢階層×在院期間区分F3[#Headers],0)),0)</f>
        <v>206</v>
      </c>
      <c r="D10" s="206">
        <f t="shared" si="0"/>
        <v>0.22687224669603523</v>
      </c>
      <c r="E10" s="229">
        <f>IFERROR(INDEX(年齢階層×在院期間区分F3[#All],MATCH($AL10,年齢階層×在院期間区分F3[[#All],[行ラベル]],0),MATCH($AQ$3,年齢階層×在院期間区分F3[#Headers],0)),0)+IFERROR(INDEX(年齢階層×在院期間区分F3[#All],MATCH($AL10,年齢階層×在院期間区分F3[[#All],[行ラベル]],0),MATCH($AR$3,年齢階層×在院期間区分F3[#Headers],0)),0)+IFERROR(INDEX(年齢階層×在院期間区分F3[#All],MATCH($AL10,年齢階層×在院期間区分F3[[#All],[行ラベル]],0),MATCH($AS$3,年齢階層×在院期間区分F3[#Headers],0)),0)+IFERROR(INDEX(年齢階層×在院期間区分F3[#All],MATCH($AL10,年齢階層×在院期間区分F3[[#All],[行ラベル]],0),MATCH($AT$3,年齢階層×在院期間区分F3[#Headers],0)),0)+IFERROR(INDEX(年齢階層×在院期間区分F3[#All],MATCH($AL10,年齢階層×在院期間区分F3[[#All],[行ラベル]],0),MATCH($AU$3,年齢階層×在院期間区分F3[#Headers],0)),0)</f>
        <v>143</v>
      </c>
      <c r="F10" s="206">
        <f t="shared" si="1"/>
        <v>0.34541062801932365</v>
      </c>
      <c r="G10" s="228">
        <f>IFERROR(INDEX(年齢階層×在院期間区分F3[#All],MATCH($AL10,年齢階層×在院期間区分F3[[#All],[行ラベル]],0),MATCH($AV$3,年齢階層×在院期間区分F3[#Headers],0)),0)+IFERROR(INDEX(年齢階層×在院期間区分F3[#All],MATCH($AL10,年齢階層×在院期間区分F3[[#All],[行ラベル]],0),MATCH($AW$3,年齢階層×在院期間区分F3[#Headers],0)),0)+IFERROR(INDEX(年齢階層×在院期間区分F3[#All],MATCH($AL10,年齢階層×在院期間区分F3[[#All],[行ラベル]],0),MATCH($AX$3,年齢階層×在院期間区分F3[#Headers],0)),0)+IFERROR(INDEX(年齢階層×在院期間区分F3[#All],MATCH($AL10,年齢階層×在院期間区分F3[[#All],[行ラベル]],0),MATCH($AY$3,年齢階層×在院期間区分F3[#Headers],0)),0)+IFERROR(INDEX(年齢階層×在院期間区分F3[#All],MATCH($AL10,年齢階層×在院期間区分F3[[#All],[行ラベル]],0),MATCH($AZ$3,年齢階層×在院期間区分F3[#Headers],0)),0)</f>
        <v>52</v>
      </c>
      <c r="H10" s="206">
        <f t="shared" si="2"/>
        <v>0.36363636363636365</v>
      </c>
      <c r="I10" s="205">
        <f>IFERROR(INDEX(年齢階層×在院期間区分F3[#All],MATCH($AL10,年齢階層×在院期間区分F3[[#All],[行ラベル]],0),MATCH($BA$3,年齢階層×在院期間区分F3[#Headers],0)),0)+IFERROR(INDEX(年齢階層×在院期間区分F3[#All],MATCH($AL10,年齢階層×在院期間区分F3[[#All],[行ラベル]],0),MATCH($BB$3,年齢階層×在院期間区分F3[#Headers],0)),0)</f>
        <v>30</v>
      </c>
      <c r="J10" s="206">
        <f t="shared" si="3"/>
        <v>0.44117647058823528</v>
      </c>
      <c r="K10" s="205">
        <f t="shared" si="4"/>
        <v>431</v>
      </c>
      <c r="L10" s="206">
        <f t="shared" si="5"/>
        <v>0.2811480756686236</v>
      </c>
      <c r="O10" s="53" t="s">
        <v>8</v>
      </c>
      <c r="P10" s="65">
        <v>57</v>
      </c>
      <c r="Q10" s="65">
        <v>74</v>
      </c>
      <c r="R10" s="65">
        <v>39</v>
      </c>
      <c r="S10" s="65">
        <v>36</v>
      </c>
      <c r="T10" s="65">
        <v>32</v>
      </c>
      <c r="U10" s="65">
        <v>23</v>
      </c>
      <c r="V10" s="65">
        <v>39</v>
      </c>
      <c r="W10" s="65">
        <v>28</v>
      </c>
      <c r="X10" s="65">
        <v>21</v>
      </c>
      <c r="Y10" s="65">
        <v>20</v>
      </c>
      <c r="Z10" s="65">
        <v>9</v>
      </c>
      <c r="AA10" s="65">
        <v>7</v>
      </c>
      <c r="AB10" s="65">
        <v>7</v>
      </c>
      <c r="AC10" s="65">
        <v>9</v>
      </c>
      <c r="AD10" s="65">
        <v>25</v>
      </c>
      <c r="AE10" s="65">
        <v>5</v>
      </c>
      <c r="AF10" s="21"/>
      <c r="AG10" s="21"/>
      <c r="AL10" s="53" t="s">
        <v>8</v>
      </c>
      <c r="AM10" s="66"/>
      <c r="AN10" s="66"/>
      <c r="AP10" s="66"/>
    </row>
    <row r="11" spans="2:54" ht="18.75" customHeight="1" x14ac:dyDescent="0.15">
      <c r="B11" s="227" t="s">
        <v>9</v>
      </c>
      <c r="C11" s="205">
        <f>IFERROR(INDEX(年齢階層×在院期間区分F3[#All],MATCH($AL11,年齢階層×在院期間区分F3[[#All],[行ラベル]],0),MATCH($AM$3,年齢階層×在院期間区分F3[#Headers],0)),0)+IFERROR(INDEX(年齢階層×在院期間区分F3[#All],MATCH($AL11,年齢階層×在院期間区分F3[[#All],[行ラベル]],0),MATCH($AN$3,年齢階層×在院期間区分F3[#Headers],0)),0)+IFERROR(INDEX(年齢階層×在院期間区分F3[#All],MATCH($AL11,年齢階層×在院期間区分F3[[#All],[行ラベル]],0),MATCH($AO$3,年齢階層×在院期間区分F3[#Headers],0)),0)+IFERROR(INDEX(年齢階層×在院期間区分F3[#All],MATCH($AL11,年齢階層×在院期間区分F3[[#All],[行ラベル]],0),MATCH($AP$3,年齢階層×在院期間区分F3[#Headers],0)),0)</f>
        <v>156</v>
      </c>
      <c r="D11" s="206">
        <f t="shared" si="0"/>
        <v>0.17180616740088106</v>
      </c>
      <c r="E11" s="205">
        <f>IFERROR(INDEX(年齢階層×在院期間区分F3[#All],MATCH($AL11,年齢階層×在院期間区分F3[[#All],[行ラベル]],0),MATCH($AQ$3,年齢階層×在院期間区分F3[#Headers],0)),0)+IFERROR(INDEX(年齢階層×在院期間区分F3[#All],MATCH($AL11,年齢階層×在院期間区分F3[[#All],[行ラベル]],0),MATCH($AR$3,年齢階層×在院期間区分F3[#Headers],0)),0)+IFERROR(INDEX(年齢階層×在院期間区分F3[#All],MATCH($AL11,年齢階層×在院期間区分F3[[#All],[行ラベル]],0),MATCH($AS$3,年齢階層×在院期間区分F3[#Headers],0)),0)+IFERROR(INDEX(年齢階層×在院期間区分F3[#All],MATCH($AL11,年齢階層×在院期間区分F3[[#All],[行ラベル]],0),MATCH($AT$3,年齢階層×在院期間区分F3[#Headers],0)),0)+IFERROR(INDEX(年齢階層×在院期間区分F3[#All],MATCH($AL11,年齢階層×在院期間区分F3[[#All],[行ラベル]],0),MATCH($AU$3,年齢階層×在院期間区分F3[#Headers],0)),0)</f>
        <v>115</v>
      </c>
      <c r="F11" s="206">
        <f t="shared" si="1"/>
        <v>0.27777777777777779</v>
      </c>
      <c r="G11" s="228">
        <f>IFERROR(INDEX(年齢階層×在院期間区分F3[#All],MATCH($AL11,年齢階層×在院期間区分F3[[#All],[行ラベル]],0),MATCH($AV$3,年齢階層×在院期間区分F3[#Headers],0)),0)+IFERROR(INDEX(年齢階層×在院期間区分F3[#All],MATCH($AL11,年齢階層×在院期間区分F3[[#All],[行ラベル]],0),MATCH($AW$3,年齢階層×在院期間区分F3[#Headers],0)),0)+IFERROR(INDEX(年齢階層×在院期間区分F3[#All],MATCH($AL11,年齢階層×在院期間区分F3[[#All],[行ラベル]],0),MATCH($AX$3,年齢階層×在院期間区分F3[#Headers],0)),0)+IFERROR(INDEX(年齢階層×在院期間区分F3[#All],MATCH($AL11,年齢階層×在院期間区分F3[[#All],[行ラベル]],0),MATCH($AY$3,年齢階層×在院期間区分F3[#Headers],0)),0)+IFERROR(INDEX(年齢階層×在院期間区分F3[#All],MATCH($AL11,年齢階層×在院期間区分F3[[#All],[行ラベル]],0),MATCH($AZ$3,年齢階層×在院期間区分F3[#Headers],0)),0)</f>
        <v>38</v>
      </c>
      <c r="H11" s="206">
        <f t="shared" si="2"/>
        <v>0.26573426573426573</v>
      </c>
      <c r="I11" s="205">
        <f>IFERROR(INDEX(年齢階層×在院期間区分F3[#All],MATCH($AL11,年齢階層×在院期間区分F3[[#All],[行ラベル]],0),MATCH($BA$3,年齢階層×在院期間区分F3[#Headers],0)),0)+IFERROR(INDEX(年齢階層×在院期間区分F3[#All],MATCH($AL11,年齢階層×在院期間区分F3[[#All],[行ラベル]],0),MATCH($BB$3,年齢階層×在院期間区分F3[#Headers],0)),0)</f>
        <v>19</v>
      </c>
      <c r="J11" s="206">
        <f t="shared" si="3"/>
        <v>0.27941176470588236</v>
      </c>
      <c r="K11" s="205">
        <f t="shared" si="4"/>
        <v>328</v>
      </c>
      <c r="L11" s="206">
        <f t="shared" si="5"/>
        <v>0.21395955642530984</v>
      </c>
      <c r="O11" s="53" t="s">
        <v>9</v>
      </c>
      <c r="P11" s="65">
        <v>54</v>
      </c>
      <c r="Q11" s="65">
        <v>57</v>
      </c>
      <c r="R11" s="65">
        <v>18</v>
      </c>
      <c r="S11" s="65">
        <v>27</v>
      </c>
      <c r="T11" s="65">
        <v>19</v>
      </c>
      <c r="U11" s="65">
        <v>21</v>
      </c>
      <c r="V11" s="65">
        <v>37</v>
      </c>
      <c r="W11" s="65">
        <v>20</v>
      </c>
      <c r="X11" s="65">
        <v>18</v>
      </c>
      <c r="Y11" s="65">
        <v>8</v>
      </c>
      <c r="Z11" s="65">
        <v>6</v>
      </c>
      <c r="AA11" s="65">
        <v>10</v>
      </c>
      <c r="AB11" s="65">
        <v>10</v>
      </c>
      <c r="AC11" s="65">
        <v>4</v>
      </c>
      <c r="AD11" s="65">
        <v>15</v>
      </c>
      <c r="AE11" s="65">
        <v>4</v>
      </c>
      <c r="AF11" s="21"/>
      <c r="AG11" s="21"/>
      <c r="AL11" s="53" t="s">
        <v>9</v>
      </c>
      <c r="AM11" s="66"/>
      <c r="AN11" s="66"/>
      <c r="AP11" s="66"/>
    </row>
    <row r="12" spans="2:54" ht="18.75" customHeight="1" thickBot="1" x14ac:dyDescent="0.2">
      <c r="B12" s="230" t="s">
        <v>10</v>
      </c>
      <c r="C12" s="231">
        <f>IFERROR(INDEX(年齢階層×在院期間区分F3[#All],MATCH($AL12,年齢階層×在院期間区分F3[[#All],[行ラベル]],0),MATCH($AM$3,年齢階層×在院期間区分F3[#Headers],0)),0)+IFERROR(INDEX(年齢階層×在院期間区分F3[#All],MATCH($AL12,年齢階層×在院期間区分F3[[#All],[行ラベル]],0),MATCH($AN$3,年齢階層×在院期間区分F3[#Headers],0)),0)+IFERROR(INDEX(年齢階層×在院期間区分F3[#All],MATCH($AL12,年齢階層×在院期間区分F3[[#All],[行ラベル]],0),MATCH($AO$3,年齢階層×在院期間区分F3[#Headers],0)),0)+IFERROR(INDEX(年齢階層×在院期間区分F3[#All],MATCH($AL12,年齢階層×在院期間区分F3[[#All],[行ラベル]],0),MATCH($AP$3,年齢階層×在院期間区分F3[#Headers],0)),0)</f>
        <v>14</v>
      </c>
      <c r="D12" s="222">
        <f t="shared" si="0"/>
        <v>1.5418502202643172E-2</v>
      </c>
      <c r="E12" s="231">
        <f>IFERROR(INDEX(年齢階層×在院期間区分F3[#All],MATCH($AL12,年齢階層×在院期間区分F3[[#All],[行ラベル]],0),MATCH($AQ$3,年齢階層×在院期間区分F3[#Headers],0)),0)+IFERROR(INDEX(年齢階層×在院期間区分F3[#All],MATCH($AL12,年齢階層×在院期間区分F3[[#All],[行ラベル]],0),MATCH($AR$3,年齢階層×在院期間区分F3[#Headers],0)),0)+IFERROR(INDEX(年齢階層×在院期間区分F3[#All],MATCH($AL12,年齢階層×在院期間区分F3[[#All],[行ラベル]],0),MATCH($AS$3,年齢階層×在院期間区分F3[#Headers],0)),0)+IFERROR(INDEX(年齢階層×在院期間区分F3[#All],MATCH($AL12,年齢階層×在院期間区分F3[[#All],[行ラベル]],0),MATCH($AT$3,年齢階層×在院期間区分F3[#Headers],0)),0)+IFERROR(INDEX(年齢階層×在院期間区分F3[#All],MATCH($AL12,年齢階層×在院期間区分F3[[#All],[行ラベル]],0),MATCH($AU$3,年齢階層×在院期間区分F3[#Headers],0)),0)</f>
        <v>31</v>
      </c>
      <c r="F12" s="222">
        <f t="shared" si="1"/>
        <v>7.4879227053140096E-2</v>
      </c>
      <c r="G12" s="208">
        <f>IFERROR(INDEX(年齢階層×在院期間区分F3[#All],MATCH($AL12,年齢階層×在院期間区分F3[[#All],[行ラベル]],0),MATCH($AV$3,年齢階層×在院期間区分F3[#Headers],0)),0)+IFERROR(INDEX(年齢階層×在院期間区分F3[#All],MATCH($AL12,年齢階層×在院期間区分F3[[#All],[行ラベル]],0),MATCH($AW$3,年齢階層×在院期間区分F3[#Headers],0)),0)+IFERROR(INDEX(年齢階層×在院期間区分F3[#All],MATCH($AL12,年齢階層×在院期間区分F3[[#All],[行ラベル]],0),MATCH($AX$3,年齢階層×在院期間区分F3[#Headers],0)),0)+IFERROR(INDEX(年齢階層×在院期間区分F3[#All],MATCH($AL12,年齢階層×在院期間区分F3[[#All],[行ラベル]],0),MATCH($AY$3,年齢階層×在院期間区分F3[#Headers],0)),0)+IFERROR(INDEX(年齢階層×在院期間区分F3[#All],MATCH($AL12,年齢階層×在院期間区分F3[[#All],[行ラベル]],0),MATCH($AZ$3,年齢階層×在院期間区分F3[#Headers],0)),0)</f>
        <v>6</v>
      </c>
      <c r="H12" s="222">
        <f t="shared" si="2"/>
        <v>4.195804195804196E-2</v>
      </c>
      <c r="I12" s="231">
        <f>IFERROR(INDEX(年齢階層×在院期間区分F3[#All],MATCH($AL12,年齢階層×在院期間区分F3[[#All],[行ラベル]],0),MATCH($BA$3,年齢階層×在院期間区分F3[#Headers],0)),0)+IFERROR(INDEX(年齢階層×在院期間区分F3[#All],MATCH($AL12,年齢階層×在院期間区分F3[[#All],[行ラベル]],0),MATCH($BB$3,年齢階層×在院期間区分F3[#Headers],0)),0)</f>
        <v>3</v>
      </c>
      <c r="J12" s="222">
        <f t="shared" si="3"/>
        <v>4.4117647058823532E-2</v>
      </c>
      <c r="K12" s="208">
        <f t="shared" si="4"/>
        <v>54</v>
      </c>
      <c r="L12" s="222">
        <f t="shared" si="5"/>
        <v>3.5225048923679059E-2</v>
      </c>
      <c r="O12" s="53" t="s">
        <v>10</v>
      </c>
      <c r="P12" s="65">
        <v>4</v>
      </c>
      <c r="Q12" s="65">
        <v>4</v>
      </c>
      <c r="R12" s="65">
        <v>1</v>
      </c>
      <c r="S12" s="65">
        <v>5</v>
      </c>
      <c r="T12" s="65">
        <v>6</v>
      </c>
      <c r="U12" s="65">
        <v>8</v>
      </c>
      <c r="V12" s="65">
        <v>8</v>
      </c>
      <c r="W12" s="65">
        <v>5</v>
      </c>
      <c r="X12" s="65">
        <v>4</v>
      </c>
      <c r="Y12" s="65">
        <v>1</v>
      </c>
      <c r="Z12" s="65">
        <v>3</v>
      </c>
      <c r="AA12" s="65">
        <v>2</v>
      </c>
      <c r="AB12" s="65">
        <v>0</v>
      </c>
      <c r="AC12" s="65">
        <v>0</v>
      </c>
      <c r="AD12" s="65">
        <v>2</v>
      </c>
      <c r="AE12" s="65">
        <v>1</v>
      </c>
      <c r="AF12" s="21"/>
      <c r="AG12" s="21"/>
      <c r="AL12" s="53" t="s">
        <v>10</v>
      </c>
      <c r="AM12" s="66"/>
      <c r="AN12" s="66"/>
      <c r="AP12" s="66"/>
    </row>
    <row r="13" spans="2:54" ht="18.75" customHeight="1" thickTop="1" thickBot="1" x14ac:dyDescent="0.2">
      <c r="B13" s="232" t="s">
        <v>161</v>
      </c>
      <c r="C13" s="233">
        <f t="shared" ref="C13:L13" si="6">SUM(C4:C12)</f>
        <v>908</v>
      </c>
      <c r="D13" s="234">
        <f t="shared" si="6"/>
        <v>1</v>
      </c>
      <c r="E13" s="233">
        <f t="shared" si="6"/>
        <v>414</v>
      </c>
      <c r="F13" s="234">
        <f t="shared" si="6"/>
        <v>1</v>
      </c>
      <c r="G13" s="233">
        <f t="shared" si="6"/>
        <v>143</v>
      </c>
      <c r="H13" s="234">
        <f t="shared" si="6"/>
        <v>1</v>
      </c>
      <c r="I13" s="233">
        <f t="shared" si="6"/>
        <v>68</v>
      </c>
      <c r="J13" s="234">
        <f t="shared" si="6"/>
        <v>1</v>
      </c>
      <c r="K13" s="233">
        <f t="shared" si="6"/>
        <v>1533</v>
      </c>
      <c r="L13" s="234">
        <f t="shared" si="6"/>
        <v>0.99999999999999989</v>
      </c>
      <c r="O13" s="425" t="s">
        <v>308</v>
      </c>
      <c r="P13" s="474" t="s">
        <v>182</v>
      </c>
      <c r="Q13" s="474" t="s">
        <v>183</v>
      </c>
      <c r="R13" s="474" t="s">
        <v>184</v>
      </c>
      <c r="S13" s="474" t="s">
        <v>185</v>
      </c>
      <c r="T13" s="474" t="s">
        <v>186</v>
      </c>
      <c r="U13" s="474" t="s">
        <v>187</v>
      </c>
      <c r="V13" s="474" t="s">
        <v>188</v>
      </c>
      <c r="W13" s="474" t="s">
        <v>189</v>
      </c>
      <c r="X13" s="474" t="s">
        <v>190</v>
      </c>
      <c r="Y13" s="474" t="s">
        <v>191</v>
      </c>
      <c r="Z13" s="474" t="s">
        <v>192</v>
      </c>
      <c r="AA13" s="474" t="s">
        <v>193</v>
      </c>
      <c r="AB13" s="474" t="s">
        <v>194</v>
      </c>
      <c r="AC13" s="474" t="s">
        <v>195</v>
      </c>
      <c r="AD13" s="474" t="s">
        <v>196</v>
      </c>
      <c r="AE13" s="473" t="s">
        <v>197</v>
      </c>
      <c r="AF13" s="21"/>
      <c r="AG13" s="21"/>
      <c r="AL13" s="80"/>
      <c r="AM13" s="66"/>
      <c r="AP13" s="66"/>
    </row>
    <row r="14" spans="2:54" ht="18.75" customHeight="1" thickTop="1" x14ac:dyDescent="0.15">
      <c r="B14" s="244" t="s">
        <v>93</v>
      </c>
      <c r="C14" s="245">
        <f>IFERROR(INDEX(年齢階層×在院期間区分F3_65歳未満以上[#All],MATCH($AL14,年齢階層×在院期間区分F3_65歳未満以上[[#All],[列1]],0),MATCH($AM$3,年齢階層×在院期間区分F3_65歳未満以上[#Headers],0)),0)+IFERROR(INDEX(年齢階層×在院期間区分F3_65歳未満以上[#All],MATCH($AL14,年齢階層×在院期間区分F3_65歳未満以上[[#All],[列1]],0),MATCH($AN$3,年齢階層×在院期間区分F3_65歳未満以上[#Headers],0)),0)+IFERROR(INDEX(年齢階層×在院期間区分F3_65歳未満以上[#All],MATCH($AL14,年齢階層×在院期間区分F3_65歳未満以上[[#All],[列1]],0),MATCH($AO$3,年齢階層×在院期間区分F3_65歳未満以上[#Headers],0)),0)+IFERROR(INDEX(年齢階層×在院期間区分F3_65歳未満以上[#All],MATCH($AL14,年齢階層×在院期間区分F3_65歳未満以上[[#All],[列1]],0),MATCH($AP$3,年齢階層×在院期間区分F3_65歳未満以上[#Headers],0)),0)</f>
        <v>450</v>
      </c>
      <c r="D14" s="207">
        <f>IFERROR(C14/$C$13,"-")</f>
        <v>0.49559471365638769</v>
      </c>
      <c r="E14" s="245">
        <f>IFERROR(INDEX(年齢階層×在院期間区分F3_65歳未満以上[#All],MATCH($AL14,年齢階層×在院期間区分F3_65歳未満以上[[#All],[列1]],0),MATCH($AQ$3,年齢階層×在院期間区分F3_65歳未満以上[#Headers],0)),0)+IFERROR(INDEX(年齢階層×在院期間区分F3_65歳未満以上[#All],MATCH($AL14,年齢階層×在院期間区分F3_65歳未満以上[[#All],[列1]],0),MATCH($AR$3,年齢階層×在院期間区分F3_65歳未満以上[#Headers],0)),0)+IFERROR(INDEX(年齢階層×在院期間区分F3_65歳未満以上[#All],MATCH($AL14,年齢階層×在院期間区分F3_65歳未満以上[[#All],[列1]],0),MATCH($AS$3,年齢階層×在院期間区分F3_65歳未満以上[#Headers],0)),0)+IFERROR(INDEX(年齢階層×在院期間区分F3_65歳未満以上[#All],MATCH($AL14,年齢階層×在院期間区分F3_65歳未満以上[[#All],[列1]],0),MATCH($AT$3,年齢階層×在院期間区分F3_65歳未満以上[#Headers],0)),0)+IFERROR(INDEX(年齢階層×在院期間区分F3_65歳未満以上[#All],MATCH($AL14,年齢階層×在院期間区分F3_65歳未満以上[[#All],[列1]],0),MATCH($AU$3,年齢階層×在院期間区分F3_65歳未満以上[#Headers],0)),0)</f>
        <v>86</v>
      </c>
      <c r="F14" s="207">
        <f>IFERROR(E14/$E$13,"-")</f>
        <v>0.20772946859903382</v>
      </c>
      <c r="G14" s="245">
        <f>IFERROR(INDEX(年齢階層×在院期間区分F3_65歳未満以上[#All],MATCH($AL14,年齢階層×在院期間区分F3_65歳未満以上[[#All],[列1]],0),MATCH($AV$3,年齢階層×在院期間区分F3_65歳未満以上[#Headers],0)),0)+IFERROR(INDEX(年齢階層×在院期間区分F3_65歳未満以上[#All],MATCH($AL14,年齢階層×在院期間区分F3_65歳未満以上[[#All],[列1]],0),MATCH($AW$3,年齢階層×在院期間区分F3_65歳未満以上[#Headers],0)),0)+IFERROR(INDEX(年齢階層×在院期間区分F3_65歳未満以上[#All],MATCH($AL14,年齢階層×在院期間区分F3_65歳未満以上[[#All],[列1]],0),MATCH($AX$3,年齢階層×在院期間区分F3_65歳未満以上[#Headers],0)),0)+IFERROR(INDEX(年齢階層×在院期間区分F3_65歳未満以上[#All],MATCH($AL14,年齢階層×在院期間区分F3_65歳未満以上[[#All],[列1]],0),MATCH($AY$3,年齢階層×在院期間区分F3_65歳未満以上[#Headers],0)),0)+IFERROR(INDEX(年齢階層×在院期間区分F3_65歳未満以上[#All],MATCH($AL14,年齢階層×在院期間区分F3_65歳未満以上[[#All],[列1]],0),MATCH($AZ$3,年齢階層×在院期間区分F3_65歳未満以上[#Headers],0)),0)</f>
        <v>30</v>
      </c>
      <c r="H14" s="207">
        <f>IFERROR(G14/$G$13,"-")</f>
        <v>0.20979020979020979</v>
      </c>
      <c r="I14" s="245">
        <f>IFERROR(INDEX(年齢階層×在院期間区分F3_65歳未満以上[#All],MATCH($AL14,年齢階層×在院期間区分F3_65歳未満以上[[#All],[列1]],0),MATCH($BA$3,年齢階層×在院期間区分F3_65歳未満以上[#Headers],0)),0)+IFERROR(INDEX(年齢階層×在院期間区分F3_65歳未満以上[#All],MATCH($AL14,年齢階層×在院期間区分F3_65歳未満以上[[#All],[列1]],0),MATCH($BB$3,年齢階層×在院期間区分F3_65歳未満以上[#Headers],0)),0)</f>
        <v>13</v>
      </c>
      <c r="J14" s="207">
        <f>IFERROR(I14/$I$13,"-")</f>
        <v>0.19117647058823528</v>
      </c>
      <c r="K14" s="245">
        <f>SUM(C14,E14,G14,I14)</f>
        <v>579</v>
      </c>
      <c r="L14" s="207">
        <f>IFERROR(K14/$K$13,"-")</f>
        <v>0.37769080234833657</v>
      </c>
      <c r="O14" s="53" t="s">
        <v>306</v>
      </c>
      <c r="P14" s="65">
        <v>191</v>
      </c>
      <c r="Q14" s="65">
        <v>180</v>
      </c>
      <c r="R14" s="65">
        <v>41</v>
      </c>
      <c r="S14" s="65">
        <v>38</v>
      </c>
      <c r="T14" s="65">
        <v>25</v>
      </c>
      <c r="U14" s="65">
        <v>12</v>
      </c>
      <c r="V14" s="65">
        <v>24</v>
      </c>
      <c r="W14" s="65">
        <v>12</v>
      </c>
      <c r="X14" s="65">
        <v>13</v>
      </c>
      <c r="Y14" s="65">
        <v>7</v>
      </c>
      <c r="Z14" s="65">
        <v>5</v>
      </c>
      <c r="AA14" s="65">
        <v>7</v>
      </c>
      <c r="AB14" s="65">
        <v>5</v>
      </c>
      <c r="AC14" s="65">
        <v>6</v>
      </c>
      <c r="AD14" s="65">
        <v>11</v>
      </c>
      <c r="AE14" s="65">
        <v>2</v>
      </c>
      <c r="AF14" s="21"/>
      <c r="AG14" s="21"/>
      <c r="AL14" s="82" t="s">
        <v>156</v>
      </c>
    </row>
    <row r="15" spans="2:54" ht="18.75" customHeight="1" x14ac:dyDescent="0.15">
      <c r="B15" s="246" t="s">
        <v>89</v>
      </c>
      <c r="C15" s="245">
        <f>IFERROR(INDEX(年齢階層×在院期間区分F3_65歳未満以上[#All],MATCH($AL15,年齢階層×在院期間区分F3_65歳未満以上[[#All],[列1]],0),MATCH($AM$3,年齢階層×在院期間区分F3_65歳未満以上[#Headers],0)),0)+IFERROR(INDEX(年齢階層×在院期間区分F3_65歳未満以上[#All],MATCH($AL15,年齢階層×在院期間区分F3_65歳未満以上[[#All],[列1]],0),MATCH($AN$3,年齢階層×在院期間区分F3_65歳未満以上[#Headers],0)),0)+IFERROR(INDEX(年齢階層×在院期間区分F3_65歳未満以上[#All],MATCH($AL15,年齢階層×在院期間区分F3_65歳未満以上[[#All],[列1]],0),MATCH($AO$3,年齢階層×在院期間区分F3_65歳未満以上[#Headers],0)),0)+IFERROR(INDEX(年齢階層×在院期間区分F3_65歳未満以上[#All],MATCH($AL15,年齢階層×在院期間区分F3_65歳未満以上[[#All],[列1]],0),MATCH($AP$3,年齢階層×在院期間区分F3_65歳未満以上[#Headers],0)),0)</f>
        <v>458</v>
      </c>
      <c r="D15" s="238">
        <f>IFERROR(C15/$C$13,"-")</f>
        <v>0.50440528634361237</v>
      </c>
      <c r="E15" s="245">
        <f>IFERROR(INDEX(年齢階層×在院期間区分F3_65歳未満以上[#All],MATCH($AL15,年齢階層×在院期間区分F3_65歳未満以上[[#All],[列1]],0),MATCH($AQ$3,年齢階層×在院期間区分F3_65歳未満以上[#Headers],0)),0)+IFERROR(INDEX(年齢階層×在院期間区分F3_65歳未満以上[#All],MATCH($AL15,年齢階層×在院期間区分F3_65歳未満以上[[#All],[列1]],0),MATCH($AR$3,年齢階層×在院期間区分F3_65歳未満以上[#Headers],0)),0)+IFERROR(INDEX(年齢階層×在院期間区分F3_65歳未満以上[#All],MATCH($AL15,年齢階層×在院期間区分F3_65歳未満以上[[#All],[列1]],0),MATCH($AS$3,年齢階層×在院期間区分F3_65歳未満以上[#Headers],0)),0)+IFERROR(INDEX(年齢階層×在院期間区分F3_65歳未満以上[#All],MATCH($AL15,年齢階層×在院期間区分F3_65歳未満以上[[#All],[列1]],0),MATCH($AT$3,年齢階層×在院期間区分F3_65歳未満以上[#Headers],0)),0)+IFERROR(INDEX(年齢階層×在院期間区分F3_65歳未満以上[#All],MATCH($AL15,年齢階層×在院期間区分F3_65歳未満以上[[#All],[列1]],0),MATCH($AU$3,年齢階層×在院期間区分F3_65歳未満以上[#Headers],0)),0)</f>
        <v>328</v>
      </c>
      <c r="F15" s="238">
        <f>IFERROR(E15/$E$13,"-")</f>
        <v>0.79227053140096615</v>
      </c>
      <c r="G15" s="245">
        <f>IFERROR(INDEX(年齢階層×在院期間区分F3_65歳未満以上[#All],MATCH($AL15,年齢階層×在院期間区分F3_65歳未満以上[[#All],[列1]],0),MATCH($AV$3,年齢階層×在院期間区分F3_65歳未満以上[#Headers],0)),0)+IFERROR(INDEX(年齢階層×在院期間区分F3_65歳未満以上[#All],MATCH($AL15,年齢階層×在院期間区分F3_65歳未満以上[[#All],[列1]],0),MATCH($AW$3,年齢階層×在院期間区分F3_65歳未満以上[#Headers],0)),0)+IFERROR(INDEX(年齢階層×在院期間区分F3_65歳未満以上[#All],MATCH($AL15,年齢階層×在院期間区分F3_65歳未満以上[[#All],[列1]],0),MATCH($AX$3,年齢階層×在院期間区分F3_65歳未満以上[#Headers],0)),0)+IFERROR(INDEX(年齢階層×在院期間区分F3_65歳未満以上[#All],MATCH($AL15,年齢階層×在院期間区分F3_65歳未満以上[[#All],[列1]],0),MATCH($AY$3,年齢階層×在院期間区分F3_65歳未満以上[#Headers],0)),0)+IFERROR(INDEX(年齢階層×在院期間区分F3_65歳未満以上[#All],MATCH($AL15,年齢階層×在院期間区分F3_65歳未満以上[[#All],[列1]],0),MATCH($AZ$3,年齢階層×在院期間区分F3_65歳未満以上[#Headers],0)),0)</f>
        <v>113</v>
      </c>
      <c r="H15" s="238">
        <f>IFERROR(G15/$G$13,"-")</f>
        <v>0.79020979020979021</v>
      </c>
      <c r="I15" s="245">
        <f>IFERROR(INDEX(年齢階層×在院期間区分F3_65歳未満以上[#All],MATCH($AL15,年齢階層×在院期間区分F3_65歳未満以上[[#All],[列1]],0),MATCH($BA$3,年齢階層×在院期間区分F3_65歳未満以上[#Headers],0)),0)+IFERROR(INDEX(年齢階層×在院期間区分F3_65歳未満以上[#All],MATCH($AL15,年齢階層×在院期間区分F3_65歳未満以上[[#All],[列1]],0),MATCH($BB$3,年齢階層×在院期間区分F3_65歳未満以上[#Headers],0)),0)</f>
        <v>55</v>
      </c>
      <c r="J15" s="238">
        <f>IFERROR(I15/$I13,"-")</f>
        <v>0.80882352941176472</v>
      </c>
      <c r="K15" s="245">
        <f>C15+E15+G15+I15</f>
        <v>954</v>
      </c>
      <c r="L15" s="238">
        <f>IFERROR(K15/$K$13,"-")</f>
        <v>0.62230919765166337</v>
      </c>
      <c r="O15" s="82" t="s">
        <v>307</v>
      </c>
      <c r="P15" s="65">
        <v>140</v>
      </c>
      <c r="Q15" s="65">
        <v>167</v>
      </c>
      <c r="R15" s="65">
        <v>67</v>
      </c>
      <c r="S15" s="65">
        <v>84</v>
      </c>
      <c r="T15" s="65">
        <v>66</v>
      </c>
      <c r="U15" s="65">
        <v>60</v>
      </c>
      <c r="V15" s="65">
        <v>94</v>
      </c>
      <c r="W15" s="65">
        <v>59</v>
      </c>
      <c r="X15" s="65">
        <v>49</v>
      </c>
      <c r="Y15" s="65">
        <v>32</v>
      </c>
      <c r="Z15" s="65">
        <v>22</v>
      </c>
      <c r="AA15" s="65">
        <v>23</v>
      </c>
      <c r="AB15" s="65">
        <v>21</v>
      </c>
      <c r="AC15" s="65">
        <v>15</v>
      </c>
      <c r="AD15" s="65">
        <v>45</v>
      </c>
      <c r="AE15" s="65">
        <v>10</v>
      </c>
      <c r="AF15" s="21"/>
      <c r="AG15" s="21"/>
      <c r="AL15" s="82" t="s">
        <v>88</v>
      </c>
    </row>
    <row r="16" spans="2:54" ht="18.75" customHeight="1" x14ac:dyDescent="0.15"/>
    <row r="17" spans="2:54" ht="18.75" customHeight="1" x14ac:dyDescent="0.15">
      <c r="B17" s="2" t="s">
        <v>158</v>
      </c>
    </row>
    <row r="18" spans="2:54" ht="18.75" customHeight="1" thickBot="1" x14ac:dyDescent="0.2">
      <c r="B18" s="961" t="s">
        <v>65</v>
      </c>
      <c r="C18" s="963" t="s">
        <v>64</v>
      </c>
      <c r="D18" s="964"/>
      <c r="E18" s="964"/>
      <c r="F18" s="964"/>
      <c r="G18" s="964"/>
      <c r="H18" s="964"/>
      <c r="I18" s="964"/>
      <c r="J18" s="964"/>
      <c r="K18" s="964"/>
      <c r="L18" s="965"/>
      <c r="O18" s="33" t="s">
        <v>63</v>
      </c>
    </row>
    <row r="19" spans="2:54" ht="18.75" customHeight="1" thickTop="1" thickBot="1" x14ac:dyDescent="0.2">
      <c r="B19" s="962"/>
      <c r="C19" s="966" t="s">
        <v>69</v>
      </c>
      <c r="D19" s="967"/>
      <c r="E19" s="966" t="s">
        <v>70</v>
      </c>
      <c r="F19" s="967"/>
      <c r="G19" s="966" t="s">
        <v>71</v>
      </c>
      <c r="H19" s="967"/>
      <c r="I19" s="966" t="s">
        <v>72</v>
      </c>
      <c r="J19" s="967"/>
      <c r="K19" s="966" t="s">
        <v>62</v>
      </c>
      <c r="L19" s="967"/>
      <c r="O19" s="425" t="s">
        <v>373</v>
      </c>
      <c r="P19" s="474" t="s">
        <v>182</v>
      </c>
      <c r="Q19" s="474" t="s">
        <v>183</v>
      </c>
      <c r="R19" s="474" t="s">
        <v>184</v>
      </c>
      <c r="S19" s="474" t="s">
        <v>185</v>
      </c>
      <c r="T19" s="474" t="s">
        <v>186</v>
      </c>
      <c r="U19" s="474" t="s">
        <v>187</v>
      </c>
      <c r="V19" s="474" t="s">
        <v>188</v>
      </c>
      <c r="W19" s="474" t="s">
        <v>189</v>
      </c>
      <c r="X19" s="474" t="s">
        <v>190</v>
      </c>
      <c r="Y19" s="474" t="s">
        <v>191</v>
      </c>
      <c r="Z19" s="474" t="s">
        <v>192</v>
      </c>
      <c r="AA19" s="474" t="s">
        <v>193</v>
      </c>
      <c r="AB19" s="474" t="s">
        <v>194</v>
      </c>
      <c r="AC19" s="474" t="s">
        <v>195</v>
      </c>
      <c r="AD19" s="474" t="s">
        <v>196</v>
      </c>
      <c r="AE19" s="473" t="s">
        <v>197</v>
      </c>
      <c r="AM19" s="473"/>
      <c r="AN19" s="474"/>
      <c r="AO19" s="474"/>
      <c r="AP19" s="474"/>
      <c r="AQ19" s="474"/>
      <c r="AR19" s="474"/>
      <c r="AS19" s="474"/>
      <c r="AT19" s="474"/>
      <c r="AU19" s="474"/>
      <c r="AV19" s="474"/>
      <c r="AW19" s="474"/>
      <c r="AX19" s="474"/>
      <c r="AY19" s="474"/>
      <c r="AZ19" s="474"/>
      <c r="BA19" s="474"/>
      <c r="BB19" s="473"/>
    </row>
    <row r="20" spans="2:54" ht="18.75" customHeight="1" thickTop="1" x14ac:dyDescent="0.15">
      <c r="B20" s="225" t="s">
        <v>2</v>
      </c>
      <c r="C20" s="220">
        <f>IFERROR(INDEX(年齢階層×在院期間区分F3＿寛解・院内寛解[#All],MATCH($AL20,年齢階層×在院期間区分F3＿寛解・院内寛解[[#All],[行ラベル]],0),MATCH($AM$3,年齢階層×在院期間区分F3＿寛解・院内寛解[#Headers],0)),0)+IFERROR(INDEX(年齢階層×在院期間区分F3＿寛解・院内寛解[#All],MATCH($AL20,年齢階層×在院期間区分F3＿寛解・院内寛解[[#All],[行ラベル]],0),MATCH($AN$3,年齢階層×在院期間区分F3＿寛解・院内寛解[#Headers],0)),0)+IFERROR(INDEX(年齢階層×在院期間区分F3＿寛解・院内寛解[#All],MATCH($AL20,年齢階層×在院期間区分F3＿寛解・院内寛解[[#All],[行ラベル]],0),MATCH($AO$3,年齢階層×在院期間区分F3＿寛解・院内寛解[#Headers],0)),0)+IFERROR(INDEX(年齢階層×在院期間区分F3＿寛解・院内寛解[#All],MATCH($AL20,年齢階層×在院期間区分F3＿寛解・院内寛解[[#All],[行ラベル]],0),MATCH($AP$3,年齢階層×在院期間区分F3＿寛解・院内寛解[#Headers],0)),0)</f>
        <v>6</v>
      </c>
      <c r="D20" s="239">
        <f t="shared" ref="D20:D28" si="7">IFERROR(C20/$C$29,"-")</f>
        <v>2.6086956521739129E-2</v>
      </c>
      <c r="E20" s="226">
        <f>IFERROR(INDEX(年齢階層×在院期間区分F3＿寛解・院内寛解[#All],MATCH($AL20,年齢階層×在院期間区分F3＿寛解・院内寛解[[#All],[行ラベル]],0),MATCH($AQ$3,年齢階層×在院期間区分F3＿寛解・院内寛解[#Headers],0)),0)+IFERROR(INDEX(年齢階層×在院期間区分F3＿寛解・院内寛解[#All],MATCH($AL20,年齢階層×在院期間区分F3＿寛解・院内寛解[[#All],[行ラベル]],0),MATCH($AR$3,年齢階層×在院期間区分F3＿寛解・院内寛解[#Headers],0)),0)+IFERROR(INDEX(年齢階層×在院期間区分F3＿寛解・院内寛解[#All],MATCH($AL20,年齢階層×在院期間区分F3＿寛解・院内寛解[[#All],[行ラベル]],0),MATCH($AS$3,年齢階層×在院期間区分F3＿寛解・院内寛解[#Headers],0)),0)+IFERROR(INDEX(年齢階層×在院期間区分F3＿寛解・院内寛解[#All],MATCH($AL20,年齢階層×在院期間区分F3＿寛解・院内寛解[[#All],[行ラベル]],0),MATCH($AT$3,年齢階層×在院期間区分F3＿寛解・院内寛解[#Headers],0)),0)+IFERROR(INDEX(年齢階層×在院期間区分F3＿寛解・院内寛解[#All],MATCH($AL20,年齢階層×在院期間区分F3＿寛解・院内寛解[[#All],[行ラベル]],0),MATCH($AU$3,年齢階層×在院期間区分F3＿寛解・院内寛解[#Headers],0)),0)</f>
        <v>0</v>
      </c>
      <c r="F20" s="239">
        <f t="shared" ref="F20:F28" si="8">IFERROR(E20/$E$29,"-")</f>
        <v>0</v>
      </c>
      <c r="G20" s="220">
        <f>IFERROR(INDEX(年齢階層×在院期間区分F3＿寛解・院内寛解[#All],MATCH($AL20,年齢階層×在院期間区分F3＿寛解・院内寛解[[#All],[行ラベル]],0),MATCH($AV$3,年齢階層×在院期間区分F3＿寛解・院内寛解[#Headers],0)),0)+IFERROR(INDEX(年齢階層×在院期間区分F3＿寛解・院内寛解[#All],MATCH($AL20,年齢階層×在院期間区分F3＿寛解・院内寛解[[#All],[行ラベル]],0),MATCH($AW$3,年齢階層×在院期間区分F3＿寛解・院内寛解[#Headers],0)),0)+IFERROR(INDEX(年齢階層×在院期間区分F3＿寛解・院内寛解[#All],MATCH($AL20,年齢階層×在院期間区分F3＿寛解・院内寛解[[#All],[行ラベル]],0),MATCH($AX$3,年齢階層×在院期間区分F3＿寛解・院内寛解[#Headers],0)),0)+IFERROR(INDEX(年齢階層×在院期間区分F3＿寛解・院内寛解[#All],MATCH($AL20,年齢階層×在院期間区分F3＿寛解・院内寛解[[#All],[行ラベル]],0),MATCH($AY$3,年齢階層×在院期間区分F3＿寛解・院内寛解[#Headers],0)),0)+IFERROR(INDEX(年齢階層×在院期間区分F3＿寛解・院内寛解[#All],MATCH($AL20,年齢階層×在院期間区分F3＿寛解・院内寛解[[#All],[行ラベル]],0),MATCH($AZ$3,年齢階層×在院期間区分F3＿寛解・院内寛解[#Headers],0)),0)</f>
        <v>0</v>
      </c>
      <c r="H20" s="239">
        <f t="shared" ref="H20:H28" si="9">IFERROR(G20/$G$29,"-")</f>
        <v>0</v>
      </c>
      <c r="I20" s="220">
        <f>IFERROR(INDEX(年齢階層×在院期間区分F3＿寛解・院内寛解[#All],MATCH($AL20,年齢階層×在院期間区分F3＿寛解・院内寛解[[#All],[行ラベル]],0),MATCH($BA$3,年齢階層×在院期間区分F3＿寛解・院内寛解[#Headers],0)),0)+IFERROR(INDEX(年齢階層×在院期間区分F3＿寛解・院内寛解[#All],MATCH($AL20,年齢階層×在院期間区分F3＿寛解・院内寛解[[#All],[行ラベル]],0),MATCH($BB$3,年齢階層×在院期間区分F3＿寛解・院内寛解[#Headers],0)),0)</f>
        <v>0</v>
      </c>
      <c r="J20" s="239">
        <f t="shared" ref="J20:J28" si="10">IFERROR(I20/$I$29,"-")</f>
        <v>0</v>
      </c>
      <c r="K20" s="220">
        <f t="shared" ref="K20:K28" si="11">SUM(C20,E20,G20,I20)</f>
        <v>6</v>
      </c>
      <c r="L20" s="239">
        <f t="shared" ref="L20:L28" si="12">IFERROR(K20/$K$29,"-")</f>
        <v>2.0202020202020204E-2</v>
      </c>
      <c r="O20" s="53" t="s">
        <v>2</v>
      </c>
      <c r="P20" s="65">
        <v>3</v>
      </c>
      <c r="Q20" s="65">
        <v>3</v>
      </c>
      <c r="R20" s="65">
        <v>0</v>
      </c>
      <c r="S20" s="65">
        <v>0</v>
      </c>
      <c r="T20" s="65">
        <v>0</v>
      </c>
      <c r="U20" s="65">
        <v>0</v>
      </c>
      <c r="V20" s="65">
        <v>0</v>
      </c>
      <c r="W20" s="65">
        <v>0</v>
      </c>
      <c r="X20" s="65">
        <v>0</v>
      </c>
      <c r="Y20" s="65">
        <v>0</v>
      </c>
      <c r="Z20" s="65">
        <v>0</v>
      </c>
      <c r="AA20" s="65">
        <v>0</v>
      </c>
      <c r="AB20" s="65">
        <v>0</v>
      </c>
      <c r="AC20" s="65">
        <v>0</v>
      </c>
      <c r="AD20" s="65">
        <v>0</v>
      </c>
      <c r="AE20" s="65">
        <v>0</v>
      </c>
      <c r="AF20" s="21"/>
      <c r="AG20" s="21"/>
      <c r="AL20" s="53" t="s">
        <v>2</v>
      </c>
    </row>
    <row r="21" spans="2:54" ht="18.75" customHeight="1" x14ac:dyDescent="0.15">
      <c r="B21" s="227" t="s">
        <v>3</v>
      </c>
      <c r="C21" s="229">
        <f>IFERROR(INDEX(年齢階層×在院期間区分F3＿寛解・院内寛解[#All],MATCH($AL21,年齢階層×在院期間区分F3＿寛解・院内寛解[[#All],[行ラベル]],0),MATCH($AM$3,年齢階層×在院期間区分F3＿寛解・院内寛解[#Headers],0)),0)+IFERROR(INDEX(年齢階層×在院期間区分F3＿寛解・院内寛解[#All],MATCH($AL21,年齢階層×在院期間区分F3＿寛解・院内寛解[[#All],[行ラベル]],0),MATCH($AN$3,年齢階層×在院期間区分F3＿寛解・院内寛解[#Headers],0)),0)+IFERROR(INDEX(年齢階層×在院期間区分F3＿寛解・院内寛解[#All],MATCH($AL21,年齢階層×在院期間区分F3＿寛解・院内寛解[[#All],[行ラベル]],0),MATCH($AO$3,年齢階層×在院期間区分F3＿寛解・院内寛解[#Headers],0)),0)+IFERROR(INDEX(年齢階層×在院期間区分F3＿寛解・院内寛解[#All],MATCH($AL21,年齢階層×在院期間区分F3＿寛解・院内寛解[[#All],[行ラベル]],0),MATCH($AP$3,年齢階層×在院期間区分F3＿寛解・院内寛解[#Headers],0)),0)</f>
        <v>12</v>
      </c>
      <c r="D21" s="206">
        <f t="shared" si="7"/>
        <v>5.2173913043478258E-2</v>
      </c>
      <c r="E21" s="228">
        <f>IFERROR(INDEX(年齢階層×在院期間区分F3＿寛解・院内寛解[#All],MATCH($AL21,年齢階層×在院期間区分F3＿寛解・院内寛解[[#All],[行ラベル]],0),MATCH($AQ$3,年齢階層×在院期間区分F3＿寛解・院内寛解[#Headers],0)),0)+IFERROR(INDEX(年齢階層×在院期間区分F3＿寛解・院内寛解[#All],MATCH($AL21,年齢階層×在院期間区分F3＿寛解・院内寛解[[#All],[行ラベル]],0),MATCH($AR$3,年齢階層×在院期間区分F3＿寛解・院内寛解[#Headers],0)),0)+IFERROR(INDEX(年齢階層×在院期間区分F3＿寛解・院内寛解[#All],MATCH($AL21,年齢階層×在院期間区分F3＿寛解・院内寛解[[#All],[行ラベル]],0),MATCH($AS$3,年齢階層×在院期間区分F3＿寛解・院内寛解[#Headers],0)),0)+IFERROR(INDEX(年齢階層×在院期間区分F3＿寛解・院内寛解[#All],MATCH($AL21,年齢階層×在院期間区分F3＿寛解・院内寛解[[#All],[行ラベル]],0),MATCH($AT$3,年齢階層×在院期間区分F3＿寛解・院内寛解[#Headers],0)),0)+IFERROR(INDEX(年齢階層×在院期間区分F3＿寛解・院内寛解[#All],MATCH($AL21,年齢階層×在院期間区分F3＿寛解・院内寛解[[#All],[行ラベル]],0),MATCH($AU$3,年齢階層×在院期間区分F3＿寛解・院内寛解[#Headers],0)),0)</f>
        <v>0</v>
      </c>
      <c r="F21" s="206">
        <f t="shared" si="8"/>
        <v>0</v>
      </c>
      <c r="G21" s="229">
        <f>IFERROR(INDEX(年齢階層×在院期間区分F3＿寛解・院内寛解[#All],MATCH($AL21,年齢階層×在院期間区分F3＿寛解・院内寛解[[#All],[行ラベル]],0),MATCH($AV$3,年齢階層×在院期間区分F3＿寛解・院内寛解[#Headers],0)),0)+IFERROR(INDEX(年齢階層×在院期間区分F3＿寛解・院内寛解[#All],MATCH($AL21,年齢階層×在院期間区分F3＿寛解・院内寛解[[#All],[行ラベル]],0),MATCH($AW$3,年齢階層×在院期間区分F3＿寛解・院内寛解[#Headers],0)),0)+IFERROR(INDEX(年齢階層×在院期間区分F3＿寛解・院内寛解[#All],MATCH($AL21,年齢階層×在院期間区分F3＿寛解・院内寛解[[#All],[行ラベル]],0),MATCH($AX$3,年齢階層×在院期間区分F3＿寛解・院内寛解[#Headers],0)),0)+IFERROR(INDEX(年齢階層×在院期間区分F3＿寛解・院内寛解[#All],MATCH($AL21,年齢階層×在院期間区分F3＿寛解・院内寛解[[#All],[行ラベル]],0),MATCH($AY$3,年齢階層×在院期間区分F3＿寛解・院内寛解[#Headers],0)),0)+IFERROR(INDEX(年齢階層×在院期間区分F3＿寛解・院内寛解[#All],MATCH($AL21,年齢階層×在院期間区分F3＿寛解・院内寛解[[#All],[行ラベル]],0),MATCH($AZ$3,年齢階層×在院期間区分F3＿寛解・院内寛解[#Headers],0)),0)</f>
        <v>0</v>
      </c>
      <c r="H21" s="206">
        <f t="shared" si="9"/>
        <v>0</v>
      </c>
      <c r="I21" s="205">
        <f>IFERROR(INDEX(年齢階層×在院期間区分F3＿寛解・院内寛解[#All],MATCH($AL21,年齢階層×在院期間区分F3＿寛解・院内寛解[[#All],[行ラベル]],0),MATCH($BA$3,年齢階層×在院期間区分F3＿寛解・院内寛解[#Headers],0)),0)+IFERROR(INDEX(年齢階層×在院期間区分F3＿寛解・院内寛解[#All],MATCH($AL21,年齢階層×在院期間区分F3＿寛解・院内寛解[[#All],[行ラベル]],0),MATCH($BB$3,年齢階層×在院期間区分F3＿寛解・院内寛解[#Headers],0)),0)</f>
        <v>0</v>
      </c>
      <c r="J21" s="206">
        <f t="shared" si="10"/>
        <v>0</v>
      </c>
      <c r="K21" s="205">
        <f t="shared" si="11"/>
        <v>12</v>
      </c>
      <c r="L21" s="206">
        <f t="shared" si="12"/>
        <v>4.0404040404040407E-2</v>
      </c>
      <c r="O21" s="53" t="s">
        <v>3</v>
      </c>
      <c r="P21" s="65">
        <v>10</v>
      </c>
      <c r="Q21" s="65">
        <v>0</v>
      </c>
      <c r="R21" s="65">
        <v>1</v>
      </c>
      <c r="S21" s="65">
        <v>1</v>
      </c>
      <c r="T21" s="65">
        <v>0</v>
      </c>
      <c r="U21" s="65">
        <v>0</v>
      </c>
      <c r="V21" s="65">
        <v>0</v>
      </c>
      <c r="W21" s="65">
        <v>0</v>
      </c>
      <c r="X21" s="65">
        <v>0</v>
      </c>
      <c r="Y21" s="65">
        <v>0</v>
      </c>
      <c r="Z21" s="65">
        <v>0</v>
      </c>
      <c r="AA21" s="65">
        <v>0</v>
      </c>
      <c r="AB21" s="65">
        <v>0</v>
      </c>
      <c r="AC21" s="65">
        <v>0</v>
      </c>
      <c r="AD21" s="65">
        <v>0</v>
      </c>
      <c r="AE21" s="65">
        <v>0</v>
      </c>
      <c r="AF21" s="21"/>
      <c r="AG21" s="21"/>
      <c r="AL21" s="53" t="s">
        <v>3</v>
      </c>
    </row>
    <row r="22" spans="2:54" ht="18.75" customHeight="1" x14ac:dyDescent="0.15">
      <c r="B22" s="227" t="s">
        <v>4</v>
      </c>
      <c r="C22" s="228">
        <f>IFERROR(INDEX(年齢階層×在院期間区分F3＿寛解・院内寛解[#All],MATCH($AL22,年齢階層×在院期間区分F3＿寛解・院内寛解[[#All],[行ラベル]],0),MATCH($AM$3,年齢階層×在院期間区分F3＿寛解・院内寛解[#Headers],0)),0)+IFERROR(INDEX(年齢階層×在院期間区分F3＿寛解・院内寛解[#All],MATCH($AL22,年齢階層×在院期間区分F3＿寛解・院内寛解[[#All],[行ラベル]],0),MATCH($AN$3,年齢階層×在院期間区分F3＿寛解・院内寛解[#Headers],0)),0)+IFERROR(INDEX(年齢階層×在院期間区分F3＿寛解・院内寛解[#All],MATCH($AL22,年齢階層×在院期間区分F3＿寛解・院内寛解[[#All],[行ラベル]],0),MATCH($AO$3,年齢階層×在院期間区分F3＿寛解・院内寛解[#Headers],0)),0)+IFERROR(INDEX(年齢階層×在院期間区分F3＿寛解・院内寛解[#All],MATCH($AL22,年齢階層×在院期間区分F3＿寛解・院内寛解[[#All],[行ラベル]],0),MATCH($AP$3,年齢階層×在院期間区分F3＿寛解・院内寛解[#Headers],0)),0)</f>
        <v>11</v>
      </c>
      <c r="D22" s="206">
        <f t="shared" si="7"/>
        <v>4.7826086956521741E-2</v>
      </c>
      <c r="E22" s="228">
        <f>IFERROR(INDEX(年齢階層×在院期間区分F3＿寛解・院内寛解[#All],MATCH($AL22,年齢階層×在院期間区分F3＿寛解・院内寛解[[#All],[行ラベル]],0),MATCH($AQ$3,年齢階層×在院期間区分F3＿寛解・院内寛解[#Headers],0)),0)+IFERROR(INDEX(年齢階層×在院期間区分F3＿寛解・院内寛解[#All],MATCH($AL22,年齢階層×在院期間区分F3＿寛解・院内寛解[[#All],[行ラベル]],0),MATCH($AR$3,年齢階層×在院期間区分F3＿寛解・院内寛解[#Headers],0)),0)+IFERROR(INDEX(年齢階層×在院期間区分F3＿寛解・院内寛解[#All],MATCH($AL22,年齢階層×在院期間区分F3＿寛解・院内寛解[[#All],[行ラベル]],0),MATCH($AS$3,年齢階層×在院期間区分F3＿寛解・院内寛解[#Headers],0)),0)+IFERROR(INDEX(年齢階層×在院期間区分F3＿寛解・院内寛解[#All],MATCH($AL22,年齢階層×在院期間区分F3＿寛解・院内寛解[[#All],[行ラベル]],0),MATCH($AT$3,年齢階層×在院期間区分F3＿寛解・院内寛解[#Headers],0)),0)+IFERROR(INDEX(年齢階層×在院期間区分F3＿寛解・院内寛解[#All],MATCH($AL22,年齢階層×在院期間区分F3＿寛解・院内寛解[[#All],[行ラベル]],0),MATCH($AU$3,年齢階層×在院期間区分F3＿寛解・院内寛解[#Headers],0)),0)</f>
        <v>1</v>
      </c>
      <c r="F22" s="206">
        <f t="shared" si="8"/>
        <v>2.3255813953488372E-2</v>
      </c>
      <c r="G22" s="228">
        <f>IFERROR(INDEX(年齢階層×在院期間区分F3＿寛解・院内寛解[#All],MATCH($AL22,年齢階層×在院期間区分F3＿寛解・院内寛解[[#All],[行ラベル]],0),MATCH($AV$3,年齢階層×在院期間区分F3＿寛解・院内寛解[#Headers],0)),0)+IFERROR(INDEX(年齢階層×在院期間区分F3＿寛解・院内寛解[#All],MATCH($AL22,年齢階層×在院期間区分F3＿寛解・院内寛解[[#All],[行ラベル]],0),MATCH($AW$3,年齢階層×在院期間区分F3＿寛解・院内寛解[#Headers],0)),0)+IFERROR(INDEX(年齢階層×在院期間区分F3＿寛解・院内寛解[#All],MATCH($AL22,年齢階層×在院期間区分F3＿寛解・院内寛解[[#All],[行ラベル]],0),MATCH($AX$3,年齢階層×在院期間区分F3＿寛解・院内寛解[#Headers],0)),0)+IFERROR(INDEX(年齢階層×在院期間区分F3＿寛解・院内寛解[#All],MATCH($AL22,年齢階層×在院期間区分F3＿寛解・院内寛解[[#All],[行ラベル]],0),MATCH($AY$3,年齢階層×在院期間区分F3＿寛解・院内寛解[#Headers],0)),0)+IFERROR(INDEX(年齢階層×在院期間区分F3＿寛解・院内寛解[#All],MATCH($AL22,年齢階層×在院期間区分F3＿寛解・院内寛解[[#All],[行ラベル]],0),MATCH($AZ$3,年齢階層×在院期間区分F3＿寛解・院内寛解[#Headers],0)),0)</f>
        <v>0</v>
      </c>
      <c r="H22" s="206">
        <f t="shared" si="9"/>
        <v>0</v>
      </c>
      <c r="I22" s="229">
        <f>IFERROR(INDEX(年齢階層×在院期間区分F3＿寛解・院内寛解[#All],MATCH($AL22,年齢階層×在院期間区分F3＿寛解・院内寛解[[#All],[行ラベル]],0),MATCH($BA$3,年齢階層×在院期間区分F3＿寛解・院内寛解[#Headers],0)),0)+IFERROR(INDEX(年齢階層×在院期間区分F3＿寛解・院内寛解[#All],MATCH($AL22,年齢階層×在院期間区分F3＿寛解・院内寛解[[#All],[行ラベル]],0),MATCH($BB$3,年齢階層×在院期間区分F3＿寛解・院内寛解[#Headers],0)),0)</f>
        <v>0</v>
      </c>
      <c r="J22" s="206">
        <f t="shared" si="10"/>
        <v>0</v>
      </c>
      <c r="K22" s="205">
        <f t="shared" si="11"/>
        <v>12</v>
      </c>
      <c r="L22" s="206">
        <f t="shared" si="12"/>
        <v>4.0404040404040407E-2</v>
      </c>
      <c r="O22" s="53" t="s">
        <v>4</v>
      </c>
      <c r="P22" s="65">
        <v>5</v>
      </c>
      <c r="Q22" s="65">
        <v>5</v>
      </c>
      <c r="R22" s="65">
        <v>1</v>
      </c>
      <c r="S22" s="65">
        <v>0</v>
      </c>
      <c r="T22" s="65">
        <v>0</v>
      </c>
      <c r="U22" s="65">
        <v>0</v>
      </c>
      <c r="V22" s="65">
        <v>1</v>
      </c>
      <c r="W22" s="65">
        <v>0</v>
      </c>
      <c r="X22" s="65">
        <v>0</v>
      </c>
      <c r="Y22" s="65">
        <v>0</v>
      </c>
      <c r="Z22" s="65">
        <v>0</v>
      </c>
      <c r="AA22" s="65">
        <v>0</v>
      </c>
      <c r="AB22" s="65">
        <v>0</v>
      </c>
      <c r="AC22" s="65">
        <v>0</v>
      </c>
      <c r="AD22" s="65">
        <v>0</v>
      </c>
      <c r="AE22" s="65">
        <v>0</v>
      </c>
      <c r="AF22" s="21"/>
      <c r="AG22" s="21"/>
      <c r="AL22" s="53" t="s">
        <v>4</v>
      </c>
    </row>
    <row r="23" spans="2:54" ht="18.75" customHeight="1" x14ac:dyDescent="0.15">
      <c r="B23" s="227" t="s">
        <v>5</v>
      </c>
      <c r="C23" s="205">
        <f>IFERROR(INDEX(年齢階層×在院期間区分F3＿寛解・院内寛解[#All],MATCH($AL23,年齢階層×在院期間区分F3＿寛解・院内寛解[[#All],[行ラベル]],0),MATCH($AM$3,年齢階層×在院期間区分F3＿寛解・院内寛解[#Headers],0)),0)+IFERROR(INDEX(年齢階層×在院期間区分F3＿寛解・院内寛解[#All],MATCH($AL23,年齢階層×在院期間区分F3＿寛解・院内寛解[[#All],[行ラベル]],0),MATCH($AN$3,年齢階層×在院期間区分F3＿寛解・院内寛解[#Headers],0)),0)+IFERROR(INDEX(年齢階層×在院期間区分F3＿寛解・院内寛解[#All],MATCH($AL23,年齢階層×在院期間区分F3＿寛解・院内寛解[[#All],[行ラベル]],0),MATCH($AO$3,年齢階層×在院期間区分F3＿寛解・院内寛解[#Headers],0)),0)+IFERROR(INDEX(年齢階層×在院期間区分F3＿寛解・院内寛解[#All],MATCH($AL23,年齢階層×在院期間区分F3＿寛解・院内寛解[[#All],[行ラベル]],0),MATCH($AP$3,年齢階層×在院期間区分F3＿寛解・院内寛解[#Headers],0)),0)</f>
        <v>34</v>
      </c>
      <c r="D23" s="206">
        <f t="shared" si="7"/>
        <v>0.14782608695652175</v>
      </c>
      <c r="E23" s="205">
        <f>IFERROR(INDEX(年齢階層×在院期間区分F3＿寛解・院内寛解[#All],MATCH($AL23,年齢階層×在院期間区分F3＿寛解・院内寛解[[#All],[行ラベル]],0),MATCH($AQ$3,年齢階層×在院期間区分F3＿寛解・院内寛解[#Headers],0)),0)+IFERROR(INDEX(年齢階層×在院期間区分F3＿寛解・院内寛解[#All],MATCH($AL23,年齢階層×在院期間区分F3＿寛解・院内寛解[[#All],[行ラベル]],0),MATCH($AR$3,年齢階層×在院期間区分F3＿寛解・院内寛解[#Headers],0)),0)+IFERROR(INDEX(年齢階層×在院期間区分F3＿寛解・院内寛解[#All],MATCH($AL23,年齢階層×在院期間区分F3＿寛解・院内寛解[[#All],[行ラベル]],0),MATCH($AS$3,年齢階層×在院期間区分F3＿寛解・院内寛解[#Headers],0)),0)+IFERROR(INDEX(年齢階層×在院期間区分F3＿寛解・院内寛解[#All],MATCH($AL23,年齢階層×在院期間区分F3＿寛解・院内寛解[[#All],[行ラベル]],0),MATCH($AT$3,年齢階層×在院期間区分F3＿寛解・院内寛解[#Headers],0)),0)+IFERROR(INDEX(年齢階層×在院期間区分F3＿寛解・院内寛解[#All],MATCH($AL23,年齢階層×在院期間区分F3＿寛解・院内寛解[[#All],[行ラベル]],0),MATCH($AU$3,年齢階層×在院期間区分F3＿寛解・院内寛解[#Headers],0)),0)</f>
        <v>1</v>
      </c>
      <c r="F23" s="206">
        <f t="shared" si="8"/>
        <v>2.3255813953488372E-2</v>
      </c>
      <c r="G23" s="205">
        <f>IFERROR(INDEX(年齢階層×在院期間区分F3＿寛解・院内寛解[#All],MATCH($AL23,年齢階層×在院期間区分F3＿寛解・院内寛解[[#All],[行ラベル]],0),MATCH($AV$3,年齢階層×在院期間区分F3＿寛解・院内寛解[#Headers],0)),0)+IFERROR(INDEX(年齢階層×在院期間区分F3＿寛解・院内寛解[#All],MATCH($AL23,年齢階層×在院期間区分F3＿寛解・院内寛解[[#All],[行ラベル]],0),MATCH($AW$3,年齢階層×在院期間区分F3＿寛解・院内寛解[#Headers],0)),0)+IFERROR(INDEX(年齢階層×在院期間区分F3＿寛解・院内寛解[#All],MATCH($AL23,年齢階層×在院期間区分F3＿寛解・院内寛解[[#All],[行ラベル]],0),MATCH($AX$3,年齢階層×在院期間区分F3＿寛解・院内寛解[#Headers],0)),0)+IFERROR(INDEX(年齢階層×在院期間区分F3＿寛解・院内寛解[#All],MATCH($AL23,年齢階層×在院期間区分F3＿寛解・院内寛解[[#All],[行ラベル]],0),MATCH($AY$3,年齢階層×在院期間区分F3＿寛解・院内寛解[#Headers],0)),0)+IFERROR(INDEX(年齢階層×在院期間区分F3＿寛解・院内寛解[#All],MATCH($AL23,年齢階層×在院期間区分F3＿寛解・院内寛解[[#All],[行ラベル]],0),MATCH($AZ$3,年齢階層×在院期間区分F3＿寛解・院内寛解[#Headers],0)),0)</f>
        <v>1</v>
      </c>
      <c r="H23" s="206">
        <f t="shared" si="9"/>
        <v>5.2631578947368418E-2</v>
      </c>
      <c r="I23" s="205">
        <f>IFERROR(INDEX(年齢階層×在院期間区分F3＿寛解・院内寛解[#All],MATCH($AL23,年齢階層×在院期間区分F3＿寛解・院内寛解[[#All],[行ラベル]],0),MATCH($BA$3,年齢階層×在院期間区分F3＿寛解・院内寛解[#Headers],0)),0)+IFERROR(INDEX(年齢階層×在院期間区分F3＿寛解・院内寛解[#All],MATCH($AL23,年齢階層×在院期間区分F3＿寛解・院内寛解[[#All],[行ラベル]],0),MATCH($BB$3,年齢階層×在院期間区分F3＿寛解・院内寛解[#Headers],0)),0)</f>
        <v>0</v>
      </c>
      <c r="J23" s="206">
        <f t="shared" si="10"/>
        <v>0</v>
      </c>
      <c r="K23" s="205">
        <f t="shared" si="11"/>
        <v>36</v>
      </c>
      <c r="L23" s="206">
        <f t="shared" si="12"/>
        <v>0.12121212121212122</v>
      </c>
      <c r="O23" s="53" t="s">
        <v>5</v>
      </c>
      <c r="P23" s="65">
        <v>12</v>
      </c>
      <c r="Q23" s="65">
        <v>19</v>
      </c>
      <c r="R23" s="65">
        <v>3</v>
      </c>
      <c r="S23" s="65">
        <v>0</v>
      </c>
      <c r="T23" s="65">
        <v>0</v>
      </c>
      <c r="U23" s="65">
        <v>0</v>
      </c>
      <c r="V23" s="65">
        <v>1</v>
      </c>
      <c r="W23" s="65">
        <v>0</v>
      </c>
      <c r="X23" s="65">
        <v>0</v>
      </c>
      <c r="Y23" s="65">
        <v>0</v>
      </c>
      <c r="Z23" s="65">
        <v>1</v>
      </c>
      <c r="AA23" s="65">
        <v>0</v>
      </c>
      <c r="AB23" s="65">
        <v>0</v>
      </c>
      <c r="AC23" s="65">
        <v>0</v>
      </c>
      <c r="AD23" s="65">
        <v>0</v>
      </c>
      <c r="AE23" s="65">
        <v>0</v>
      </c>
      <c r="AF23" s="21"/>
      <c r="AG23" s="21"/>
      <c r="AL23" s="53" t="s">
        <v>5</v>
      </c>
    </row>
    <row r="24" spans="2:54" ht="18.75" customHeight="1" x14ac:dyDescent="0.15">
      <c r="B24" s="227" t="s">
        <v>6</v>
      </c>
      <c r="C24" s="205">
        <f>IFERROR(INDEX(年齢階層×在院期間区分F3＿寛解・院内寛解[#All],MATCH($AL24,年齢階層×在院期間区分F3＿寛解・院内寛解[[#All],[行ラベル]],0),MATCH($AM$3,年齢階層×在院期間区分F3＿寛解・院内寛解[#Headers],0)),0)+IFERROR(INDEX(年齢階層×在院期間区分F3＿寛解・院内寛解[#All],MATCH($AL24,年齢階層×在院期間区分F3＿寛解・院内寛解[[#All],[行ラベル]],0),MATCH($AN$3,年齢階層×在院期間区分F3＿寛解・院内寛解[#Headers],0)),0)+IFERROR(INDEX(年齢階層×在院期間区分F3＿寛解・院内寛解[#All],MATCH($AL24,年齢階層×在院期間区分F3＿寛解・院内寛解[[#All],[行ラベル]],0),MATCH($AO$3,年齢階層×在院期間区分F3＿寛解・院内寛解[#Headers],0)),0)+IFERROR(INDEX(年齢階層×在院期間区分F3＿寛解・院内寛解[#All],MATCH($AL24,年齢階層×在院期間区分F3＿寛解・院内寛解[[#All],[行ラベル]],0),MATCH($AP$3,年齢階層×在院期間区分F3＿寛解・院内寛解[#Headers],0)),0)</f>
        <v>49</v>
      </c>
      <c r="D24" s="206">
        <f t="shared" si="7"/>
        <v>0.21304347826086956</v>
      </c>
      <c r="E24" s="205">
        <f>IFERROR(INDEX(年齢階層×在院期間区分F3＿寛解・院内寛解[#All],MATCH($AL24,年齢階層×在院期間区分F3＿寛解・院内寛解[[#All],[行ラベル]],0),MATCH($AQ$3,年齢階層×在院期間区分F3＿寛解・院内寛解[#Headers],0)),0)+IFERROR(INDEX(年齢階層×在院期間区分F3＿寛解・院内寛解[#All],MATCH($AL24,年齢階層×在院期間区分F3＿寛解・院内寛解[[#All],[行ラベル]],0),MATCH($AR$3,年齢階層×在院期間区分F3＿寛解・院内寛解[#Headers],0)),0)+IFERROR(INDEX(年齢階層×在院期間区分F3＿寛解・院内寛解[#All],MATCH($AL24,年齢階層×在院期間区分F3＿寛解・院内寛解[[#All],[行ラベル]],0),MATCH($AS$3,年齢階層×在院期間区分F3＿寛解・院内寛解[#Headers],0)),0)+IFERROR(INDEX(年齢階層×在院期間区分F3＿寛解・院内寛解[#All],MATCH($AL24,年齢階層×在院期間区分F3＿寛解・院内寛解[[#All],[行ラベル]],0),MATCH($AT$3,年齢階層×在院期間区分F3＿寛解・院内寛解[#Headers],0)),0)+IFERROR(INDEX(年齢階層×在院期間区分F3＿寛解・院内寛解[#All],MATCH($AL24,年齢階層×在院期間区分F3＿寛解・院内寛解[[#All],[行ラベル]],0),MATCH($AU$3,年齢階層×在院期間区分F3＿寛解・院内寛解[#Headers],0)),0)</f>
        <v>6</v>
      </c>
      <c r="F24" s="206">
        <f t="shared" si="8"/>
        <v>0.13953488372093023</v>
      </c>
      <c r="G24" s="205">
        <f>IFERROR(INDEX(年齢階層×在院期間区分F3＿寛解・院内寛解[#All],MATCH($AL24,年齢階層×在院期間区分F3＿寛解・院内寛解[[#All],[行ラベル]],0),MATCH($AV$3,年齢階層×在院期間区分F3＿寛解・院内寛解[#Headers],0)),0)+IFERROR(INDEX(年齢階層×在院期間区分F3＿寛解・院内寛解[#All],MATCH($AL24,年齢階層×在院期間区分F3＿寛解・院内寛解[[#All],[行ラベル]],0),MATCH($AW$3,年齢階層×在院期間区分F3＿寛解・院内寛解[#Headers],0)),0)+IFERROR(INDEX(年齢階層×在院期間区分F3＿寛解・院内寛解[#All],MATCH($AL24,年齢階層×在院期間区分F3＿寛解・院内寛解[[#All],[行ラベル]],0),MATCH($AX$3,年齢階層×在院期間区分F3＿寛解・院内寛解[#Headers],0)),0)+IFERROR(INDEX(年齢階層×在院期間区分F3＿寛解・院内寛解[#All],MATCH($AL24,年齢階層×在院期間区分F3＿寛解・院内寛解[[#All],[行ラベル]],0),MATCH($AY$3,年齢階層×在院期間区分F3＿寛解・院内寛解[#Headers],0)),0)+IFERROR(INDEX(年齢階層×在院期間区分F3＿寛解・院内寛解[#All],MATCH($AL24,年齢階層×在院期間区分F3＿寛解・院内寛解[[#All],[行ラベル]],0),MATCH($AZ$3,年齢階層×在院期間区分F3＿寛解・院内寛解[#Headers],0)),0)</f>
        <v>0</v>
      </c>
      <c r="H24" s="206">
        <f t="shared" si="9"/>
        <v>0</v>
      </c>
      <c r="I24" s="229">
        <f>IFERROR(INDEX(年齢階層×在院期間区分F3＿寛解・院内寛解[#All],MATCH($AL24,年齢階層×在院期間区分F3＿寛解・院内寛解[[#All],[行ラベル]],0),MATCH($BA$3,年齢階層×在院期間区分F3＿寛解・院内寛解[#Headers],0)),0)+IFERROR(INDEX(年齢階層×在院期間区分F3＿寛解・院内寛解[#All],MATCH($AL24,年齢階層×在院期間区分F3＿寛解・院内寛解[[#All],[行ラベル]],0),MATCH($BB$3,年齢階層×在院期間区分F3＿寛解・院内寛解[#Headers],0)),0)</f>
        <v>0</v>
      </c>
      <c r="J24" s="206">
        <f t="shared" si="10"/>
        <v>0</v>
      </c>
      <c r="K24" s="205">
        <f t="shared" si="11"/>
        <v>55</v>
      </c>
      <c r="L24" s="206">
        <f t="shared" si="12"/>
        <v>0.18518518518518517</v>
      </c>
      <c r="O24" s="53" t="s">
        <v>6</v>
      </c>
      <c r="P24" s="65">
        <v>19</v>
      </c>
      <c r="Q24" s="65">
        <v>29</v>
      </c>
      <c r="R24" s="65">
        <v>1</v>
      </c>
      <c r="S24" s="65">
        <v>0</v>
      </c>
      <c r="T24" s="65">
        <v>3</v>
      </c>
      <c r="U24" s="65">
        <v>1</v>
      </c>
      <c r="V24" s="65">
        <v>1</v>
      </c>
      <c r="W24" s="65">
        <v>1</v>
      </c>
      <c r="X24" s="65">
        <v>0</v>
      </c>
      <c r="Y24" s="65">
        <v>0</v>
      </c>
      <c r="Z24" s="65">
        <v>0</v>
      </c>
      <c r="AA24" s="65">
        <v>0</v>
      </c>
      <c r="AB24" s="65">
        <v>0</v>
      </c>
      <c r="AC24" s="65">
        <v>0</v>
      </c>
      <c r="AD24" s="65">
        <v>0</v>
      </c>
      <c r="AE24" s="65">
        <v>0</v>
      </c>
      <c r="AF24" s="21"/>
      <c r="AG24" s="21"/>
      <c r="AL24" s="53" t="s">
        <v>6</v>
      </c>
    </row>
    <row r="25" spans="2:54" ht="18.75" customHeight="1" x14ac:dyDescent="0.15">
      <c r="B25" s="227" t="s">
        <v>7</v>
      </c>
      <c r="C25" s="205">
        <f>IFERROR(INDEX(年齢階層×在院期間区分F3＿寛解・院内寛解[#All],MATCH($AL25,年齢階層×在院期間区分F3＿寛解・院内寛解[[#All],[行ラベル]],0),MATCH($AM$3,年齢階層×在院期間区分F3＿寛解・院内寛解[#Headers],0)),0)+IFERROR(INDEX(年齢階層×在院期間区分F3＿寛解・院内寛解[#All],MATCH($AL25,年齢階層×在院期間区分F3＿寛解・院内寛解[[#All],[行ラベル]],0),MATCH($AN$3,年齢階層×在院期間区分F3＿寛解・院内寛解[#Headers],0)),0)+IFERROR(INDEX(年齢階層×在院期間区分F3＿寛解・院内寛解[#All],MATCH($AL25,年齢階層×在院期間区分F3＿寛解・院内寛解[[#All],[行ラベル]],0),MATCH($AO$3,年齢階層×在院期間区分F3＿寛解・院内寛解[#Headers],0)),0)+IFERROR(INDEX(年齢階層×在院期間区分F3＿寛解・院内寛解[#All],MATCH($AL25,年齢階層×在院期間区分F3＿寛解・院内寛解[[#All],[行ラベル]],0),MATCH($AP$3,年齢階層×在院期間区分F3＿寛解・院内寛解[#Headers],0)),0)</f>
        <v>39</v>
      </c>
      <c r="D25" s="206">
        <f t="shared" si="7"/>
        <v>0.16956521739130434</v>
      </c>
      <c r="E25" s="205">
        <f>IFERROR(INDEX(年齢階層×在院期間区分F3＿寛解・院内寛解[#All],MATCH($AL25,年齢階層×在院期間区分F3＿寛解・院内寛解[[#All],[行ラベル]],0),MATCH($AQ$3,年齢階層×在院期間区分F3＿寛解・院内寛解[#Headers],0)),0)+IFERROR(INDEX(年齢階層×在院期間区分F3＿寛解・院内寛解[#All],MATCH($AL25,年齢階層×在院期間区分F3＿寛解・院内寛解[[#All],[行ラベル]],0),MATCH($AR$3,年齢階層×在院期間区分F3＿寛解・院内寛解[#Headers],0)),0)+IFERROR(INDEX(年齢階層×在院期間区分F3＿寛解・院内寛解[#All],MATCH($AL25,年齢階層×在院期間区分F3＿寛解・院内寛解[[#All],[行ラベル]],0),MATCH($AS$3,年齢階層×在院期間区分F3＿寛解・院内寛解[#Headers],0)),0)+IFERROR(INDEX(年齢階層×在院期間区分F3＿寛解・院内寛解[#All],MATCH($AL25,年齢階層×在院期間区分F3＿寛解・院内寛解[[#All],[行ラベル]],0),MATCH($AT$3,年齢階層×在院期間区分F3＿寛解・院内寛解[#Headers],0)),0)+IFERROR(INDEX(年齢階層×在院期間区分F3＿寛解・院内寛解[#All],MATCH($AL25,年齢階層×在院期間区分F3＿寛解・院内寛解[[#All],[行ラベル]],0),MATCH($AU$3,年齢階層×在院期間区分F3＿寛解・院内寛解[#Headers],0)),0)</f>
        <v>7</v>
      </c>
      <c r="F25" s="206">
        <f t="shared" si="8"/>
        <v>0.16279069767441862</v>
      </c>
      <c r="G25" s="205">
        <f>IFERROR(INDEX(年齢階層×在院期間区分F3＿寛解・院内寛解[#All],MATCH($AL25,年齢階層×在院期間区分F3＿寛解・院内寛解[[#All],[行ラベル]],0),MATCH($AV$3,年齢階層×在院期間区分F3＿寛解・院内寛解[#Headers],0)),0)+IFERROR(INDEX(年齢階層×在院期間区分F3＿寛解・院内寛解[#All],MATCH($AL25,年齢階層×在院期間区分F3＿寛解・院内寛解[[#All],[行ラベル]],0),MATCH($AW$3,年齢階層×在院期間区分F3＿寛解・院内寛解[#Headers],0)),0)+IFERROR(INDEX(年齢階層×在院期間区分F3＿寛解・院内寛解[#All],MATCH($AL25,年齢階層×在院期間区分F3＿寛解・院内寛解[[#All],[行ラベル]],0),MATCH($AX$3,年齢階層×在院期間区分F3＿寛解・院内寛解[#Headers],0)),0)+IFERROR(INDEX(年齢階層×在院期間区分F3＿寛解・院内寛解[#All],MATCH($AL25,年齢階層×在院期間区分F3＿寛解・院内寛解[[#All],[行ラベル]],0),MATCH($AY$3,年齢階層×在院期間区分F3＿寛解・院内寛解[#Headers],0)),0)+IFERROR(INDEX(年齢階層×在院期間区分F3＿寛解・院内寛解[#All],MATCH($AL25,年齢階層×在院期間区分F3＿寛解・院内寛解[[#All],[行ラベル]],0),MATCH($AZ$3,年齢階層×在院期間区分F3＿寛解・院内寛解[#Headers],0)),0)</f>
        <v>4</v>
      </c>
      <c r="H25" s="206">
        <f t="shared" si="9"/>
        <v>0.21052631578947367</v>
      </c>
      <c r="I25" s="205">
        <f>IFERROR(INDEX(年齢階層×在院期間区分F3＿寛解・院内寛解[#All],MATCH($AL25,年齢階層×在院期間区分F3＿寛解・院内寛解[[#All],[行ラベル]],0),MATCH($BA$3,年齢階層×在院期間区分F3＿寛解・院内寛解[#Headers],0)),0)+IFERROR(INDEX(年齢階層×在院期間区分F3＿寛解・院内寛解[#All],MATCH($AL25,年齢階層×在院期間区分F3＿寛解・院内寛解[[#All],[行ラベル]],0),MATCH($BB$3,年齢階層×在院期間区分F3＿寛解・院内寛解[#Headers],0)),0)</f>
        <v>1</v>
      </c>
      <c r="J25" s="206">
        <f t="shared" si="10"/>
        <v>0.2</v>
      </c>
      <c r="K25" s="205">
        <f t="shared" si="11"/>
        <v>51</v>
      </c>
      <c r="L25" s="206">
        <f t="shared" si="12"/>
        <v>0.17171717171717171</v>
      </c>
      <c r="O25" s="53" t="s">
        <v>7</v>
      </c>
      <c r="P25" s="65">
        <v>17</v>
      </c>
      <c r="Q25" s="65">
        <v>19</v>
      </c>
      <c r="R25" s="65">
        <v>2</v>
      </c>
      <c r="S25" s="65">
        <v>1</v>
      </c>
      <c r="T25" s="65">
        <v>1</v>
      </c>
      <c r="U25" s="65">
        <v>2</v>
      </c>
      <c r="V25" s="65">
        <v>1</v>
      </c>
      <c r="W25" s="65">
        <v>1</v>
      </c>
      <c r="X25" s="65">
        <v>2</v>
      </c>
      <c r="Y25" s="65">
        <v>1</v>
      </c>
      <c r="Z25" s="65">
        <v>2</v>
      </c>
      <c r="AA25" s="65">
        <v>0</v>
      </c>
      <c r="AB25" s="65">
        <v>1</v>
      </c>
      <c r="AC25" s="65">
        <v>0</v>
      </c>
      <c r="AD25" s="65">
        <v>0</v>
      </c>
      <c r="AE25" s="65">
        <v>1</v>
      </c>
      <c r="AF25" s="21"/>
      <c r="AG25" s="21"/>
      <c r="AL25" s="53" t="s">
        <v>7</v>
      </c>
    </row>
    <row r="26" spans="2:54" ht="18.75" customHeight="1" x14ac:dyDescent="0.15">
      <c r="B26" s="227" t="s">
        <v>8</v>
      </c>
      <c r="C26" s="205">
        <f>IFERROR(INDEX(年齢階層×在院期間区分F3＿寛解・院内寛解[#All],MATCH($AL26,年齢階層×在院期間区分F3＿寛解・院内寛解[[#All],[行ラベル]],0),MATCH($AM$3,年齢階層×在院期間区分F3＿寛解・院内寛解[#Headers],0)),0)+IFERROR(INDEX(年齢階層×在院期間区分F3＿寛解・院内寛解[#All],MATCH($AL26,年齢階層×在院期間区分F3＿寛解・院内寛解[[#All],[行ラベル]],0),MATCH($AN$3,年齢階層×在院期間区分F3＿寛解・院内寛解[#Headers],0)),0)+IFERROR(INDEX(年齢階層×在院期間区分F3＿寛解・院内寛解[#All],MATCH($AL26,年齢階層×在院期間区分F3＿寛解・院内寛解[[#All],[行ラベル]],0),MATCH($AO$3,年齢階層×在院期間区分F3＿寛解・院内寛解[#Headers],0)),0)+IFERROR(INDEX(年齢階層×在院期間区分F3＿寛解・院内寛解[#All],MATCH($AL26,年齢階層×在院期間区分F3＿寛解・院内寛解[[#All],[行ラベル]],0),MATCH($AP$3,年齢階層×在院期間区分F3＿寛解・院内寛解[#Headers],0)),0)</f>
        <v>49</v>
      </c>
      <c r="D26" s="206">
        <f t="shared" si="7"/>
        <v>0.21304347826086956</v>
      </c>
      <c r="E26" s="229">
        <f>IFERROR(INDEX(年齢階層×在院期間区分F3＿寛解・院内寛解[#All],MATCH($AL26,年齢階層×在院期間区分F3＿寛解・院内寛解[[#All],[行ラベル]],0),MATCH($AQ$3,年齢階層×在院期間区分F3＿寛解・院内寛解[#Headers],0)),0)+IFERROR(INDEX(年齢階層×在院期間区分F3＿寛解・院内寛解[#All],MATCH($AL26,年齢階層×在院期間区分F3＿寛解・院内寛解[[#All],[行ラベル]],0),MATCH($AR$3,年齢階層×在院期間区分F3＿寛解・院内寛解[#Headers],0)),0)+IFERROR(INDEX(年齢階層×在院期間区分F3＿寛解・院内寛解[#All],MATCH($AL26,年齢階層×在院期間区分F3＿寛解・院内寛解[[#All],[行ラベル]],0),MATCH($AS$3,年齢階層×在院期間区分F3＿寛解・院内寛解[#Headers],0)),0)+IFERROR(INDEX(年齢階層×在院期間区分F3＿寛解・院内寛解[#All],MATCH($AL26,年齢階層×在院期間区分F3＿寛解・院内寛解[[#All],[行ラベル]],0),MATCH($AT$3,年齢階層×在院期間区分F3＿寛解・院内寛解[#Headers],0)),0)+IFERROR(INDEX(年齢階層×在院期間区分F3＿寛解・院内寛解[#All],MATCH($AL26,年齢階層×在院期間区分F3＿寛解・院内寛解[[#All],[行ラベル]],0),MATCH($AU$3,年齢階層×在院期間区分F3＿寛解・院内寛解[#Headers],0)),0)</f>
        <v>20</v>
      </c>
      <c r="F26" s="206">
        <f t="shared" si="8"/>
        <v>0.46511627906976744</v>
      </c>
      <c r="G26" s="229">
        <f>IFERROR(INDEX(年齢階層×在院期間区分F3＿寛解・院内寛解[#All],MATCH($AL26,年齢階層×在院期間区分F3＿寛解・院内寛解[[#All],[行ラベル]],0),MATCH($AV$3,年齢階層×在院期間区分F3＿寛解・院内寛解[#Headers],0)),0)+IFERROR(INDEX(年齢階層×在院期間区分F3＿寛解・院内寛解[#All],MATCH($AL26,年齢階層×在院期間区分F3＿寛解・院内寛解[[#All],[行ラベル]],0),MATCH($AW$3,年齢階層×在院期間区分F3＿寛解・院内寛解[#Headers],0)),0)+IFERROR(INDEX(年齢階層×在院期間区分F3＿寛解・院内寛解[#All],MATCH($AL26,年齢階層×在院期間区分F3＿寛解・院内寛解[[#All],[行ラベル]],0),MATCH($AX$3,年齢階層×在院期間区分F3＿寛解・院内寛解[#Headers],0)),0)+IFERROR(INDEX(年齢階層×在院期間区分F3＿寛解・院内寛解[#All],MATCH($AL26,年齢階層×在院期間区分F3＿寛解・院内寛解[[#All],[行ラベル]],0),MATCH($AY$3,年齢階層×在院期間区分F3＿寛解・院内寛解[#Headers],0)),0)+IFERROR(INDEX(年齢階層×在院期間区分F3＿寛解・院内寛解[#All],MATCH($AL26,年齢階層×在院期間区分F3＿寛解・院内寛解[[#All],[行ラベル]],0),MATCH($AZ$3,年齢階層×在院期間区分F3＿寛解・院内寛解[#Headers],0)),0)</f>
        <v>9</v>
      </c>
      <c r="H26" s="206">
        <f t="shared" si="9"/>
        <v>0.47368421052631576</v>
      </c>
      <c r="I26" s="229">
        <f>IFERROR(INDEX(年齢階層×在院期間区分F3＿寛解・院内寛解[#All],MATCH($AL26,年齢階層×在院期間区分F3＿寛解・院内寛解[[#All],[行ラベル]],0),MATCH($BA$3,年齢階層×在院期間区分F3＿寛解・院内寛解[#Headers],0)),0)+IFERROR(INDEX(年齢階層×在院期間区分F3＿寛解・院内寛解[#All],MATCH($AL26,年齢階層×在院期間区分F3＿寛解・院内寛解[[#All],[行ラベル]],0),MATCH($BB$3,年齢階層×在院期間区分F3＿寛解・院内寛解[#Headers],0)),0)</f>
        <v>2</v>
      </c>
      <c r="J26" s="206">
        <f t="shared" si="10"/>
        <v>0.4</v>
      </c>
      <c r="K26" s="205">
        <f t="shared" si="11"/>
        <v>80</v>
      </c>
      <c r="L26" s="206">
        <f t="shared" si="12"/>
        <v>0.26936026936026936</v>
      </c>
      <c r="O26" s="53" t="s">
        <v>8</v>
      </c>
      <c r="P26" s="65">
        <v>10</v>
      </c>
      <c r="Q26" s="65">
        <v>18</v>
      </c>
      <c r="R26" s="65">
        <v>12</v>
      </c>
      <c r="S26" s="65">
        <v>9</v>
      </c>
      <c r="T26" s="65">
        <v>4</v>
      </c>
      <c r="U26" s="65">
        <v>3</v>
      </c>
      <c r="V26" s="65">
        <v>4</v>
      </c>
      <c r="W26" s="65">
        <v>8</v>
      </c>
      <c r="X26" s="65">
        <v>1</v>
      </c>
      <c r="Y26" s="65">
        <v>4</v>
      </c>
      <c r="Z26" s="65">
        <v>2</v>
      </c>
      <c r="AA26" s="65">
        <v>1</v>
      </c>
      <c r="AB26" s="65">
        <v>1</v>
      </c>
      <c r="AC26" s="65">
        <v>1</v>
      </c>
      <c r="AD26" s="65">
        <v>2</v>
      </c>
      <c r="AE26" s="65">
        <v>0</v>
      </c>
      <c r="AF26" s="21"/>
      <c r="AG26" s="21"/>
      <c r="AL26" s="53" t="s">
        <v>8</v>
      </c>
    </row>
    <row r="27" spans="2:54" ht="18.75" customHeight="1" x14ac:dyDescent="0.15">
      <c r="B27" s="227" t="s">
        <v>9</v>
      </c>
      <c r="C27" s="205">
        <f>IFERROR(INDEX(年齢階層×在院期間区分F3＿寛解・院内寛解[#All],MATCH($AL27,年齢階層×在院期間区分F3＿寛解・院内寛解[[#All],[行ラベル]],0),MATCH($AM$3,年齢階層×在院期間区分F3＿寛解・院内寛解[#Headers],0)),0)+IFERROR(INDEX(年齢階層×在院期間区分F3＿寛解・院内寛解[#All],MATCH($AL27,年齢階層×在院期間区分F3＿寛解・院内寛解[[#All],[行ラベル]],0),MATCH($AN$3,年齢階層×在院期間区分F3＿寛解・院内寛解[#Headers],0)),0)+IFERROR(INDEX(年齢階層×在院期間区分F3＿寛解・院内寛解[#All],MATCH($AL27,年齢階層×在院期間区分F3＿寛解・院内寛解[[#All],[行ラベル]],0),MATCH($AO$3,年齢階層×在院期間区分F3＿寛解・院内寛解[#Headers],0)),0)+IFERROR(INDEX(年齢階層×在院期間区分F3＿寛解・院内寛解[#All],MATCH($AL27,年齢階層×在院期間区分F3＿寛解・院内寛解[[#All],[行ラベル]],0),MATCH($AP$3,年齢階層×在院期間区分F3＿寛解・院内寛解[#Headers],0)),0)</f>
        <v>30</v>
      </c>
      <c r="D27" s="206">
        <f t="shared" si="7"/>
        <v>0.13043478260869565</v>
      </c>
      <c r="E27" s="205">
        <f>IFERROR(INDEX(年齢階層×在院期間区分F3＿寛解・院内寛解[#All],MATCH($AL27,年齢階層×在院期間区分F3＿寛解・院内寛解[[#All],[行ラベル]],0),MATCH($AQ$3,年齢階層×在院期間区分F3＿寛解・院内寛解[#Headers],0)),0)+IFERROR(INDEX(年齢階層×在院期間区分F3＿寛解・院内寛解[#All],MATCH($AL27,年齢階層×在院期間区分F3＿寛解・院内寛解[[#All],[行ラベル]],0),MATCH($AR$3,年齢階層×在院期間区分F3＿寛解・院内寛解[#Headers],0)),0)+IFERROR(INDEX(年齢階層×在院期間区分F3＿寛解・院内寛解[#All],MATCH($AL27,年齢階層×在院期間区分F3＿寛解・院内寛解[[#All],[行ラベル]],0),MATCH($AS$3,年齢階層×在院期間区分F3＿寛解・院内寛解[#Headers],0)),0)+IFERROR(INDEX(年齢階層×在院期間区分F3＿寛解・院内寛解[#All],MATCH($AL27,年齢階層×在院期間区分F3＿寛解・院内寛解[[#All],[行ラベル]],0),MATCH($AT$3,年齢階層×在院期間区分F3＿寛解・院内寛解[#Headers],0)),0)+IFERROR(INDEX(年齢階層×在院期間区分F3＿寛解・院内寛解[#All],MATCH($AL27,年齢階層×在院期間区分F3＿寛解・院内寛解[[#All],[行ラベル]],0),MATCH($AU$3,年齢階層×在院期間区分F3＿寛解・院内寛解[#Headers],0)),0)</f>
        <v>7</v>
      </c>
      <c r="F27" s="206">
        <f t="shared" si="8"/>
        <v>0.16279069767441862</v>
      </c>
      <c r="G27" s="205">
        <f>IFERROR(INDEX(年齢階層×在院期間区分F3＿寛解・院内寛解[#All],MATCH($AL27,年齢階層×在院期間区分F3＿寛解・院内寛解[[#All],[行ラベル]],0),MATCH($AV$3,年齢階層×在院期間区分F3＿寛解・院内寛解[#Headers],0)),0)+IFERROR(INDEX(年齢階層×在院期間区分F3＿寛解・院内寛解[#All],MATCH($AL27,年齢階層×在院期間区分F3＿寛解・院内寛解[[#All],[行ラベル]],0),MATCH($AW$3,年齢階層×在院期間区分F3＿寛解・院内寛解[#Headers],0)),0)+IFERROR(INDEX(年齢階層×在院期間区分F3＿寛解・院内寛解[#All],MATCH($AL27,年齢階層×在院期間区分F3＿寛解・院内寛解[[#All],[行ラベル]],0),MATCH($AX$3,年齢階層×在院期間区分F3＿寛解・院内寛解[#Headers],0)),0)+IFERROR(INDEX(年齢階層×在院期間区分F3＿寛解・院内寛解[#All],MATCH($AL27,年齢階層×在院期間区分F3＿寛解・院内寛解[[#All],[行ラベル]],0),MATCH($AY$3,年齢階層×在院期間区分F3＿寛解・院内寛解[#Headers],0)),0)+IFERROR(INDEX(年齢階層×在院期間区分F3＿寛解・院内寛解[#All],MATCH($AL27,年齢階層×在院期間区分F3＿寛解・院内寛解[[#All],[行ラベル]],0),MATCH($AZ$3,年齢階層×在院期間区分F3＿寛解・院内寛解[#Headers],0)),0)</f>
        <v>5</v>
      </c>
      <c r="H27" s="206">
        <f t="shared" si="9"/>
        <v>0.26315789473684209</v>
      </c>
      <c r="I27" s="228">
        <f>IFERROR(INDEX(年齢階層×在院期間区分F3＿寛解・院内寛解[#All],MATCH($AL27,年齢階層×在院期間区分F3＿寛解・院内寛解[[#All],[行ラベル]],0),MATCH($BA$3,年齢階層×在院期間区分F3＿寛解・院内寛解[#Headers],0)),0)+IFERROR(INDEX(年齢階層×在院期間区分F3＿寛解・院内寛解[#All],MATCH($AL27,年齢階層×在院期間区分F3＿寛解・院内寛解[[#All],[行ラベル]],0),MATCH($BB$3,年齢階層×在院期間区分F3＿寛解・院内寛解[#Headers],0)),0)</f>
        <v>2</v>
      </c>
      <c r="J27" s="206">
        <f t="shared" si="10"/>
        <v>0.4</v>
      </c>
      <c r="K27" s="205">
        <f t="shared" si="11"/>
        <v>44</v>
      </c>
      <c r="L27" s="206">
        <f t="shared" si="12"/>
        <v>0.14814814814814814</v>
      </c>
      <c r="O27" s="53" t="s">
        <v>9</v>
      </c>
      <c r="P27" s="65">
        <v>10</v>
      </c>
      <c r="Q27" s="65">
        <v>12</v>
      </c>
      <c r="R27" s="65">
        <v>4</v>
      </c>
      <c r="S27" s="65">
        <v>4</v>
      </c>
      <c r="T27" s="65">
        <v>1</v>
      </c>
      <c r="U27" s="65">
        <v>1</v>
      </c>
      <c r="V27" s="65">
        <v>3</v>
      </c>
      <c r="W27" s="65">
        <v>2</v>
      </c>
      <c r="X27" s="65">
        <v>0</v>
      </c>
      <c r="Y27" s="65">
        <v>2</v>
      </c>
      <c r="Z27" s="65">
        <v>0</v>
      </c>
      <c r="AA27" s="65">
        <v>1</v>
      </c>
      <c r="AB27" s="65">
        <v>2</v>
      </c>
      <c r="AC27" s="65">
        <v>0</v>
      </c>
      <c r="AD27" s="65">
        <v>2</v>
      </c>
      <c r="AE27" s="65">
        <v>0</v>
      </c>
      <c r="AF27" s="21"/>
      <c r="AG27" s="21"/>
      <c r="AL27" s="53" t="s">
        <v>9</v>
      </c>
    </row>
    <row r="28" spans="2:54" ht="18.75" customHeight="1" thickBot="1" x14ac:dyDescent="0.2">
      <c r="B28" s="230" t="s">
        <v>10</v>
      </c>
      <c r="C28" s="231">
        <f>IFERROR(INDEX(年齢階層×在院期間区分F3＿寛解・院内寛解[#All],MATCH($AL28,年齢階層×在院期間区分F3＿寛解・院内寛解[[#All],[行ラベル]],0),MATCH($AM$3,年齢階層×在院期間区分F3＿寛解・院内寛解[#Headers],0)),0)+IFERROR(INDEX(年齢階層×在院期間区分F3＿寛解・院内寛解[#All],MATCH($AL28,年齢階層×在院期間区分F3＿寛解・院内寛解[[#All],[行ラベル]],0),MATCH($AN$3,年齢階層×在院期間区分F3＿寛解・院内寛解[#Headers],0)),0)+IFERROR(INDEX(年齢階層×在院期間区分F3＿寛解・院内寛解[#All],MATCH($AL28,年齢階層×在院期間区分F3＿寛解・院内寛解[[#All],[行ラベル]],0),MATCH($AO$3,年齢階層×在院期間区分F3＿寛解・院内寛解[#Headers],0)),0)+IFERROR(INDEX(年齢階層×在院期間区分F3＿寛解・院内寛解[#All],MATCH($AL28,年齢階層×在院期間区分F3＿寛解・院内寛解[[#All],[行ラベル]],0),MATCH($AP$3,年齢階層×在院期間区分F3＿寛解・院内寛解[#Headers],0)),0)</f>
        <v>0</v>
      </c>
      <c r="D28" s="210">
        <f t="shared" si="7"/>
        <v>0</v>
      </c>
      <c r="E28" s="231">
        <f>IFERROR(INDEX(年齢階層×在院期間区分F3＿寛解・院内寛解[#All],MATCH($AL28,年齢階層×在院期間区分F3＿寛解・院内寛解[[#All],[行ラベル]],0),MATCH($AQ$3,年齢階層×在院期間区分F3＿寛解・院内寛解[#Headers],0)),0)+IFERROR(INDEX(年齢階層×在院期間区分F3＿寛解・院内寛解[#All],MATCH($AL28,年齢階層×在院期間区分F3＿寛解・院内寛解[[#All],[行ラベル]],0),MATCH($AR$3,年齢階層×在院期間区分F3＿寛解・院内寛解[#Headers],0)),0)+IFERROR(INDEX(年齢階層×在院期間区分F3＿寛解・院内寛解[#All],MATCH($AL28,年齢階層×在院期間区分F3＿寛解・院内寛解[[#All],[行ラベル]],0),MATCH($AS$3,年齢階層×在院期間区分F3＿寛解・院内寛解[#Headers],0)),0)+IFERROR(INDEX(年齢階層×在院期間区分F3＿寛解・院内寛解[#All],MATCH($AL28,年齢階層×在院期間区分F3＿寛解・院内寛解[[#All],[行ラベル]],0),MATCH($AT$3,年齢階層×在院期間区分F3＿寛解・院内寛解[#Headers],0)),0)+IFERROR(INDEX(年齢階層×在院期間区分F3＿寛解・院内寛解[#All],MATCH($AL28,年齢階層×在院期間区分F3＿寛解・院内寛解[[#All],[行ラベル]],0),MATCH($AU$3,年齢階層×在院期間区分F3＿寛解・院内寛解[#Headers],0)),0)</f>
        <v>1</v>
      </c>
      <c r="F28" s="210">
        <f t="shared" si="8"/>
        <v>2.3255813953488372E-2</v>
      </c>
      <c r="G28" s="231">
        <f>IFERROR(INDEX(年齢階層×在院期間区分F3＿寛解・院内寛解[#All],MATCH($AL28,年齢階層×在院期間区分F3＿寛解・院内寛解[[#All],[行ラベル]],0),MATCH($AV$3,年齢階層×在院期間区分F3＿寛解・院内寛解[#Headers],0)),0)+IFERROR(INDEX(年齢階層×在院期間区分F3＿寛解・院内寛解[#All],MATCH($AL28,年齢階層×在院期間区分F3＿寛解・院内寛解[[#All],[行ラベル]],0),MATCH($AW$3,年齢階層×在院期間区分F3＿寛解・院内寛解[#Headers],0)),0)+IFERROR(INDEX(年齢階層×在院期間区分F3＿寛解・院内寛解[#All],MATCH($AL28,年齢階層×在院期間区分F3＿寛解・院内寛解[[#All],[行ラベル]],0),MATCH($AX$3,年齢階層×在院期間区分F3＿寛解・院内寛解[#Headers],0)),0)+IFERROR(INDEX(年齢階層×在院期間区分F3＿寛解・院内寛解[#All],MATCH($AL28,年齢階層×在院期間区分F3＿寛解・院内寛解[[#All],[行ラベル]],0),MATCH($AY$3,年齢階層×在院期間区分F3＿寛解・院内寛解[#Headers],0)),0)+IFERROR(INDEX(年齢階層×在院期間区分F3＿寛解・院内寛解[#All],MATCH($AL28,年齢階層×在院期間区分F3＿寛解・院内寛解[[#All],[行ラベル]],0),MATCH($AZ$3,年齢階層×在院期間区分F3＿寛解・院内寛解[#Headers],0)),0)</f>
        <v>0</v>
      </c>
      <c r="H28" s="210">
        <f t="shared" si="9"/>
        <v>0</v>
      </c>
      <c r="I28" s="208">
        <f>IFERROR(INDEX(年齢階層×在院期間区分F3＿寛解・院内寛解[#All],MATCH($AL28,年齢階層×在院期間区分F3＿寛解・院内寛解[[#All],[行ラベル]],0),MATCH($BA$3,年齢階層×在院期間区分F3＿寛解・院内寛解[#Headers],0)),0)+IFERROR(INDEX(年齢階層×在院期間区分F3＿寛解・院内寛解[#All],MATCH($AL28,年齢階層×在院期間区分F3＿寛解・院内寛解[[#All],[行ラベル]],0),MATCH($BB$3,年齢階層×在院期間区分F3＿寛解・院内寛解[#Headers],0)),0)</f>
        <v>0</v>
      </c>
      <c r="J28" s="210">
        <f t="shared" si="10"/>
        <v>0</v>
      </c>
      <c r="K28" s="208">
        <f t="shared" si="11"/>
        <v>1</v>
      </c>
      <c r="L28" s="210">
        <f t="shared" si="12"/>
        <v>3.3670033670033669E-3</v>
      </c>
      <c r="M28" s="77"/>
      <c r="O28" s="53" t="s">
        <v>10</v>
      </c>
      <c r="P28" s="65">
        <v>0</v>
      </c>
      <c r="Q28" s="65">
        <v>0</v>
      </c>
      <c r="R28" s="65">
        <v>0</v>
      </c>
      <c r="S28" s="65">
        <v>0</v>
      </c>
      <c r="T28" s="65">
        <v>0</v>
      </c>
      <c r="U28" s="65">
        <v>0</v>
      </c>
      <c r="V28" s="65">
        <v>0</v>
      </c>
      <c r="W28" s="65">
        <v>1</v>
      </c>
      <c r="X28" s="65">
        <v>0</v>
      </c>
      <c r="Y28" s="65">
        <v>0</v>
      </c>
      <c r="Z28" s="65">
        <v>0</v>
      </c>
      <c r="AA28" s="65">
        <v>0</v>
      </c>
      <c r="AB28" s="65">
        <v>0</v>
      </c>
      <c r="AC28" s="65">
        <v>0</v>
      </c>
      <c r="AD28" s="65">
        <v>0</v>
      </c>
      <c r="AE28" s="65">
        <v>0</v>
      </c>
      <c r="AF28" s="21"/>
      <c r="AG28" s="21"/>
      <c r="AL28" s="53" t="s">
        <v>10</v>
      </c>
    </row>
    <row r="29" spans="2:54" ht="18.75" customHeight="1" thickTop="1" thickBot="1" x14ac:dyDescent="0.2">
      <c r="B29" s="232" t="s">
        <v>161</v>
      </c>
      <c r="C29" s="233">
        <f t="shared" ref="C29:L29" si="13">SUM(C20:C28)</f>
        <v>230</v>
      </c>
      <c r="D29" s="240">
        <f t="shared" si="13"/>
        <v>1</v>
      </c>
      <c r="E29" s="233">
        <f t="shared" si="13"/>
        <v>43</v>
      </c>
      <c r="F29" s="240">
        <f t="shared" si="13"/>
        <v>1</v>
      </c>
      <c r="G29" s="233">
        <f t="shared" si="13"/>
        <v>19</v>
      </c>
      <c r="H29" s="240">
        <f t="shared" si="13"/>
        <v>1</v>
      </c>
      <c r="I29" s="233">
        <f t="shared" si="13"/>
        <v>5</v>
      </c>
      <c r="J29" s="240">
        <f t="shared" si="13"/>
        <v>1</v>
      </c>
      <c r="K29" s="233">
        <f t="shared" si="13"/>
        <v>297</v>
      </c>
      <c r="L29" s="240">
        <f t="shared" si="13"/>
        <v>1</v>
      </c>
      <c r="O29" s="425" t="s">
        <v>308</v>
      </c>
      <c r="P29" s="474" t="s">
        <v>182</v>
      </c>
      <c r="Q29" s="474" t="s">
        <v>183</v>
      </c>
      <c r="R29" s="474" t="s">
        <v>184</v>
      </c>
      <c r="S29" s="474" t="s">
        <v>185</v>
      </c>
      <c r="T29" s="474" t="s">
        <v>186</v>
      </c>
      <c r="U29" s="474" t="s">
        <v>187</v>
      </c>
      <c r="V29" s="474" t="s">
        <v>188</v>
      </c>
      <c r="W29" s="474" t="s">
        <v>189</v>
      </c>
      <c r="X29" s="474" t="s">
        <v>190</v>
      </c>
      <c r="Y29" s="474" t="s">
        <v>191</v>
      </c>
      <c r="Z29" s="474" t="s">
        <v>192</v>
      </c>
      <c r="AA29" s="474" t="s">
        <v>193</v>
      </c>
      <c r="AB29" s="474" t="s">
        <v>194</v>
      </c>
      <c r="AC29" s="474" t="s">
        <v>195</v>
      </c>
      <c r="AD29" s="474" t="s">
        <v>196</v>
      </c>
      <c r="AE29" s="473" t="s">
        <v>197</v>
      </c>
      <c r="AF29" s="21"/>
      <c r="AG29" s="21"/>
      <c r="AL29" s="21"/>
    </row>
    <row r="30" spans="2:54" ht="18.75" customHeight="1" thickTop="1" x14ac:dyDescent="0.15">
      <c r="B30" s="244" t="s">
        <v>93</v>
      </c>
      <c r="C30" s="245">
        <f>IFERROR(INDEX(年齢階層×在院期間区分F3_65歳未満以上＿寛解・院内寛解[#All],MATCH($AL30,年齢階層×在院期間区分F3_65歳未満以上＿寛解・院内寛解[[#All],[列1]],0),MATCH($AM$3,年齢階層×在院期間区分F3_65歳未満以上＿寛解・院内寛解[#Headers],0)),0)+IFERROR(INDEX(年齢階層×在院期間区分F3_65歳未満以上＿寛解・院内寛解[#All],MATCH($AL30,年齢階層×在院期間区分F3_65歳未満以上＿寛解・院内寛解[[#All],[列1]],0),MATCH($AN$3,年齢階層×在院期間区分F3_65歳未満以上＿寛解・院内寛解[#Headers],0)),0)+IFERROR(INDEX(年齢階層×在院期間区分F3_65歳未満以上＿寛解・院内寛解[#All],MATCH($AL30,年齢階層×在院期間区分F3_65歳未満以上＿寛解・院内寛解[[#All],[列1]],0),MATCH($AO$3,年齢階層×在院期間区分F3_65歳未満以上＿寛解・院内寛解[#Headers],0)),0)+IFERROR(INDEX(年齢階層×在院期間区分F3_65歳未満以上＿寛解・院内寛解[#All],MATCH($AL30,年齢階層×在院期間区分F3_65歳未満以上＿寛解・院内寛解[[#All],[列1]],0),MATCH($AP$3,年齢階層×在院期間区分F3_65歳未満以上＿寛解・院内寛解[#Headers],0)),0)</f>
        <v>135</v>
      </c>
      <c r="D30" s="221">
        <f>IFERROR(C30/$C$29,"-")</f>
        <v>0.58695652173913049</v>
      </c>
      <c r="E30" s="245">
        <f>IFERROR(INDEX(年齢階層×在院期間区分F3_65歳未満以上＿寛解・院内寛解[#All],MATCH($AL30,年齢階層×在院期間区分F3_65歳未満以上＿寛解・院内寛解[[#All],[列1]],0),MATCH($AQ$3,年齢階層×在院期間区分F3_65歳未満以上＿寛解・院内寛解[#Headers],0)),0)+IFERROR(INDEX(年齢階層×在院期間区分F3_65歳未満以上＿寛解・院内寛解[#All],MATCH($AL30,年齢階層×在院期間区分F3_65歳未満以上＿寛解・院内寛解[[#All],[列1]],0),MATCH($AR$3,年齢階層×在院期間区分F3_65歳未満以上＿寛解・院内寛解[#Headers],0)),0)+IFERROR(INDEX(年齢階層×在院期間区分F3_65歳未満以上＿寛解・院内寛解[#All],MATCH($AL30,年齢階層×在院期間区分F3_65歳未満以上＿寛解・院内寛解[[#All],[列1]],0),MATCH($AS$3,年齢階層×在院期間区分F3_65歳未満以上＿寛解・院内寛解[#Headers],0)),0)+IFERROR(INDEX(年齢階層×在院期間区分F3_65歳未満以上＿寛解・院内寛解[#All],MATCH($AL30,年齢階層×在院期間区分F3_65歳未満以上＿寛解・院内寛解[[#All],[列1]],0),MATCH($AT$3,年齢階層×在院期間区分F3_65歳未満以上＿寛解・院内寛解[#Headers],0)),0)+IFERROR(INDEX(年齢階層×在院期間区分F3_65歳未満以上＿寛解・院内寛解[#All],MATCH($AL30,年齢階層×在院期間区分F3_65歳未満以上＿寛解・院内寛解[[#All],[列1]],0),MATCH($AU$3,年齢階層×在院期間区分F3_65歳未満以上＿寛解・院内寛解[#Headers],0)),0)</f>
        <v>9</v>
      </c>
      <c r="F30" s="221">
        <f>IFERROR(E30/$E$29,"-")</f>
        <v>0.20930232558139536</v>
      </c>
      <c r="G30" s="245">
        <f>IFERROR(INDEX(年齢階層×在院期間区分F3_65歳未満以上＿寛解・院内寛解[#All],MATCH($AL30,年齢階層×在院期間区分F3_65歳未満以上＿寛解・院内寛解[[#All],[列1]],0),MATCH($AV$3,年齢階層×在院期間区分F3_65歳未満以上＿寛解・院内寛解[#Headers],0)),0)+IFERROR(INDEX(年齢階層×在院期間区分F3_65歳未満以上＿寛解・院内寛解[#All],MATCH($AL30,年齢階層×在院期間区分F3_65歳未満以上＿寛解・院内寛解[[#All],[列1]],0),MATCH($AW$3,年齢階層×在院期間区分F3_65歳未満以上＿寛解・院内寛解[#Headers],0)),0)+IFERROR(INDEX(年齢階層×在院期間区分F3_65歳未満以上＿寛解・院内寛解[#All],MATCH($AL30,年齢階層×在院期間区分F3_65歳未満以上＿寛解・院内寛解[[#All],[列1]],0),MATCH($AX$3,年齢階層×在院期間区分F3_65歳未満以上＿寛解・院内寛解[#Headers],0)),0)+IFERROR(INDEX(年齢階層×在院期間区分F3_65歳未満以上＿寛解・院内寛解[#All],MATCH($AL30,年齢階層×在院期間区分F3_65歳未満以上＿寛解・院内寛解[[#All],[列1]],0),MATCH($AY$3,年齢階層×在院期間区分F3_65歳未満以上＿寛解・院内寛解[#Headers],0)),0)+IFERROR(INDEX(年齢階層×在院期間区分F3_65歳未満以上＿寛解・院内寛解[#All],MATCH($AL30,年齢階層×在院期間区分F3_65歳未満以上＿寛解・院内寛解[[#All],[列1]],0),MATCH($AZ$3,年齢階層×在院期間区分F3_65歳未満以上＿寛解・院内寛解[#Headers],0)),0)</f>
        <v>3</v>
      </c>
      <c r="H30" s="221">
        <f>IFERROR(G30/$G$29,"-")</f>
        <v>0.15789473684210525</v>
      </c>
      <c r="I30" s="245">
        <f>IFERROR(INDEX(年齢階層×在院期間区分F3_65歳未満以上＿寛解・院内寛解[#All],MATCH($AL30,年齢階層×在院期間区分F3_65歳未満以上＿寛解・院内寛解[[#All],[列1]],0),MATCH($BA$3,年齢階層×在院期間区分F3_65歳未満以上＿寛解・院内寛解[#Headers],0)),0)+IFERROR(INDEX(年齢階層×在院期間区分F3_65歳未満以上＿寛解・院内寛解[#All],MATCH($AL30,年齢階層×在院期間区分F3_65歳未満以上＿寛解・院内寛解[[#All],[列1]],0),MATCH($BB$3,年齢階層×在院期間区分F3_65歳未満以上＿寛解・院内寛解[#Headers],0)),0)</f>
        <v>1</v>
      </c>
      <c r="J30" s="221">
        <f>IFERROR(I30/$I$29,"-")</f>
        <v>0.2</v>
      </c>
      <c r="K30" s="245">
        <f>C30+E30+G30+I30</f>
        <v>148</v>
      </c>
      <c r="L30" s="221">
        <f>IFERROR(K30/$K$29,"-")</f>
        <v>0.49831649831649832</v>
      </c>
      <c r="O30" s="53" t="s">
        <v>306</v>
      </c>
      <c r="P30" s="65">
        <v>59</v>
      </c>
      <c r="Q30" s="65">
        <v>66</v>
      </c>
      <c r="R30" s="65">
        <v>8</v>
      </c>
      <c r="S30" s="65">
        <v>2</v>
      </c>
      <c r="T30" s="65">
        <v>3</v>
      </c>
      <c r="U30" s="65">
        <v>1</v>
      </c>
      <c r="V30" s="65">
        <v>3</v>
      </c>
      <c r="W30" s="65">
        <v>1</v>
      </c>
      <c r="X30" s="65">
        <v>1</v>
      </c>
      <c r="Y30" s="65">
        <v>1</v>
      </c>
      <c r="Z30" s="65">
        <v>2</v>
      </c>
      <c r="AA30" s="65">
        <v>0</v>
      </c>
      <c r="AB30" s="65">
        <v>0</v>
      </c>
      <c r="AC30" s="65">
        <v>0</v>
      </c>
      <c r="AD30" s="65">
        <v>0</v>
      </c>
      <c r="AE30" s="65">
        <v>1</v>
      </c>
      <c r="AF30" s="21"/>
      <c r="AG30" s="21"/>
      <c r="AL30" s="82" t="s">
        <v>156</v>
      </c>
    </row>
    <row r="31" spans="2:54" ht="18.75" customHeight="1" x14ac:dyDescent="0.15">
      <c r="B31" s="246" t="s">
        <v>89</v>
      </c>
      <c r="C31" s="245">
        <f>IFERROR(INDEX(年齢階層×在院期間区分F3_65歳未満以上＿寛解・院内寛解[#All],MATCH($AL31,年齢階層×在院期間区分F3_65歳未満以上＿寛解・院内寛解[[#All],[列1]],0),MATCH($AM$3,年齢階層×在院期間区分F3_65歳未満以上＿寛解・院内寛解[#Headers],0)),0)+IFERROR(INDEX(年齢階層×在院期間区分F3_65歳未満以上＿寛解・院内寛解[#All],MATCH($AL31,年齢階層×在院期間区分F3_65歳未満以上＿寛解・院内寛解[[#All],[列1]],0),MATCH($AN$3,年齢階層×在院期間区分F3_65歳未満以上＿寛解・院内寛解[#Headers],0)),0)+IFERROR(INDEX(年齢階層×在院期間区分F3_65歳未満以上＿寛解・院内寛解[#All],MATCH($AL31,年齢階層×在院期間区分F3_65歳未満以上＿寛解・院内寛解[[#All],[列1]],0),MATCH($AO$3,年齢階層×在院期間区分F3_65歳未満以上＿寛解・院内寛解[#Headers],0)),0)+IFERROR(INDEX(年齢階層×在院期間区分F3_65歳未満以上＿寛解・院内寛解[#All],MATCH($AL31,年齢階層×在院期間区分F3_65歳未満以上＿寛解・院内寛解[[#All],[列1]],0),MATCH($AP$3,年齢階層×在院期間区分F3_65歳未満以上＿寛解・院内寛解[#Headers],0)),0)</f>
        <v>95</v>
      </c>
      <c r="D31" s="238">
        <f>IFERROR(C31/$C$29,"-")</f>
        <v>0.41304347826086957</v>
      </c>
      <c r="E31" s="245">
        <f>IFERROR(INDEX(年齢階層×在院期間区分F3_65歳未満以上＿寛解・院内寛解[#All],MATCH($AL31,年齢階層×在院期間区分F3_65歳未満以上＿寛解・院内寛解[[#All],[列1]],0),MATCH($AQ$3,年齢階層×在院期間区分F3_65歳未満以上＿寛解・院内寛解[#Headers],0)),0)+IFERROR(INDEX(年齢階層×在院期間区分F3_65歳未満以上＿寛解・院内寛解[#All],MATCH($AL31,年齢階層×在院期間区分F3_65歳未満以上＿寛解・院内寛解[[#All],[列1]],0),MATCH($AR$3,年齢階層×在院期間区分F3_65歳未満以上＿寛解・院内寛解[#Headers],0)),0)+IFERROR(INDEX(年齢階層×在院期間区分F3_65歳未満以上＿寛解・院内寛解[#All],MATCH($AL31,年齢階層×在院期間区分F3_65歳未満以上＿寛解・院内寛解[[#All],[列1]],0),MATCH($AS$3,年齢階層×在院期間区分F3_65歳未満以上＿寛解・院内寛解[#Headers],0)),0)+IFERROR(INDEX(年齢階層×在院期間区分F3_65歳未満以上＿寛解・院内寛解[#All],MATCH($AL31,年齢階層×在院期間区分F3_65歳未満以上＿寛解・院内寛解[[#All],[列1]],0),MATCH($AT$3,年齢階層×在院期間区分F3_65歳未満以上＿寛解・院内寛解[#Headers],0)),0)+IFERROR(INDEX(年齢階層×在院期間区分F3_65歳未満以上＿寛解・院内寛解[#All],MATCH($AL31,年齢階層×在院期間区分F3_65歳未満以上＿寛解・院内寛解[[#All],[列1]],0),MATCH($AU$3,年齢階層×在院期間区分F3_65歳未満以上＿寛解・院内寛解[#Headers],0)),0)</f>
        <v>34</v>
      </c>
      <c r="F31" s="238">
        <f>IFERROR(E31/$E$29,"-")</f>
        <v>0.79069767441860461</v>
      </c>
      <c r="G31" s="245">
        <f>IFERROR(INDEX(年齢階層×在院期間区分F3_65歳未満以上＿寛解・院内寛解[#All],MATCH($AL31,年齢階層×在院期間区分F3_65歳未満以上＿寛解・院内寛解[[#All],[列1]],0),MATCH($AV$3,年齢階層×在院期間区分F3_65歳未満以上＿寛解・院内寛解[#Headers],0)),0)+IFERROR(INDEX(年齢階層×在院期間区分F3_65歳未満以上＿寛解・院内寛解[#All],MATCH($AL31,年齢階層×在院期間区分F3_65歳未満以上＿寛解・院内寛解[[#All],[列1]],0),MATCH($AW$3,年齢階層×在院期間区分F3_65歳未満以上＿寛解・院内寛解[#Headers],0)),0)+IFERROR(INDEX(年齢階層×在院期間区分F3_65歳未満以上＿寛解・院内寛解[#All],MATCH($AL31,年齢階層×在院期間区分F3_65歳未満以上＿寛解・院内寛解[[#All],[列1]],0),MATCH($AX$3,年齢階層×在院期間区分F3_65歳未満以上＿寛解・院内寛解[#Headers],0)),0)+IFERROR(INDEX(年齢階層×在院期間区分F3_65歳未満以上＿寛解・院内寛解[#All],MATCH($AL31,年齢階層×在院期間区分F3_65歳未満以上＿寛解・院内寛解[[#All],[列1]],0),MATCH($AY$3,年齢階層×在院期間区分F3_65歳未満以上＿寛解・院内寛解[#Headers],0)),0)+IFERROR(INDEX(年齢階層×在院期間区分F3_65歳未満以上＿寛解・院内寛解[#All],MATCH($AL31,年齢階層×在院期間区分F3_65歳未満以上＿寛解・院内寛解[[#All],[列1]],0),MATCH($AZ$3,年齢階層×在院期間区分F3_65歳未満以上＿寛解・院内寛解[#Headers],0)),0)</f>
        <v>16</v>
      </c>
      <c r="H31" s="238">
        <f>IFERROR(G31/$G$29,"-")</f>
        <v>0.84210526315789469</v>
      </c>
      <c r="I31" s="245">
        <f>IFERROR(INDEX(年齢階層×在院期間区分F3_65歳未満以上＿寛解・院内寛解[#All],MATCH($AL31,年齢階層×在院期間区分F3_65歳未満以上＿寛解・院内寛解[[#All],[列1]],0),MATCH($BA$3,年齢階層×在院期間区分F3_65歳未満以上＿寛解・院内寛解[#Headers],0)),0)+IFERROR(INDEX(年齢階層×在院期間区分F3_65歳未満以上＿寛解・院内寛解[#All],MATCH($AL31,年齢階層×在院期間区分F3_65歳未満以上＿寛解・院内寛解[[#All],[列1]],0),MATCH($BB$3,年齢階層×在院期間区分F3_65歳未満以上＿寛解・院内寛解[#Headers],0)),0)</f>
        <v>4</v>
      </c>
      <c r="J31" s="238">
        <f>IFERROR(I31/$I$29,"-")</f>
        <v>0.8</v>
      </c>
      <c r="K31" s="245">
        <f>C31+E31+G31+I31</f>
        <v>149</v>
      </c>
      <c r="L31" s="238">
        <f>IFERROR(K31/$K$29,"-")</f>
        <v>0.50168350168350173</v>
      </c>
      <c r="O31" s="82" t="s">
        <v>307</v>
      </c>
      <c r="P31" s="65">
        <v>27</v>
      </c>
      <c r="Q31" s="65">
        <v>39</v>
      </c>
      <c r="R31" s="65">
        <v>16</v>
      </c>
      <c r="S31" s="65">
        <v>13</v>
      </c>
      <c r="T31" s="65">
        <v>6</v>
      </c>
      <c r="U31" s="65">
        <v>6</v>
      </c>
      <c r="V31" s="65">
        <v>8</v>
      </c>
      <c r="W31" s="65">
        <v>12</v>
      </c>
      <c r="X31" s="65">
        <v>2</v>
      </c>
      <c r="Y31" s="65">
        <v>6</v>
      </c>
      <c r="Z31" s="65">
        <v>3</v>
      </c>
      <c r="AA31" s="65">
        <v>2</v>
      </c>
      <c r="AB31" s="65">
        <v>4</v>
      </c>
      <c r="AC31" s="65">
        <v>1</v>
      </c>
      <c r="AD31" s="65">
        <v>4</v>
      </c>
      <c r="AE31" s="65">
        <v>0</v>
      </c>
      <c r="AL31" s="82" t="s">
        <v>88</v>
      </c>
    </row>
    <row r="32" spans="2:54" x14ac:dyDescent="0.15">
      <c r="F32" s="66"/>
      <c r="H32" s="66"/>
      <c r="J32" s="66"/>
      <c r="K32" s="44"/>
    </row>
    <row r="34" spans="2:19" x14ac:dyDescent="0.15">
      <c r="C34" s="52"/>
      <c r="D34" s="61"/>
      <c r="E34" s="61"/>
      <c r="F34" s="61"/>
      <c r="G34" s="61"/>
      <c r="H34" s="61"/>
      <c r="I34" s="61"/>
      <c r="J34" s="61"/>
      <c r="K34" s="61"/>
      <c r="L34" s="61"/>
      <c r="M34" s="61"/>
      <c r="N34" s="61"/>
      <c r="O34" s="61"/>
      <c r="P34" s="61"/>
      <c r="Q34" s="61"/>
      <c r="R34" s="52"/>
    </row>
    <row r="35" spans="2:19" x14ac:dyDescent="0.15">
      <c r="B35" s="37"/>
      <c r="C35" s="22"/>
      <c r="D35" s="22"/>
      <c r="E35" s="22"/>
      <c r="F35" s="22"/>
      <c r="G35" s="22"/>
      <c r="H35" s="22"/>
      <c r="I35" s="22"/>
      <c r="J35" s="22"/>
      <c r="K35" s="22"/>
      <c r="L35" s="22"/>
      <c r="M35" s="22"/>
      <c r="N35" s="22"/>
      <c r="O35" s="22"/>
      <c r="P35" s="22"/>
      <c r="Q35" s="22"/>
      <c r="R35" s="22"/>
      <c r="S35" s="22"/>
    </row>
    <row r="36" spans="2:19" x14ac:dyDescent="0.15">
      <c r="B36" s="37"/>
      <c r="C36" s="22"/>
      <c r="D36" s="22"/>
      <c r="E36" s="22"/>
      <c r="F36" s="22"/>
      <c r="G36" s="22"/>
      <c r="H36" s="22"/>
      <c r="I36" s="22"/>
      <c r="J36" s="22"/>
      <c r="K36" s="22"/>
      <c r="L36" s="22"/>
      <c r="M36" s="22"/>
      <c r="N36" s="22"/>
      <c r="O36" s="22"/>
      <c r="P36" s="22"/>
      <c r="Q36" s="22"/>
      <c r="R36" s="22"/>
      <c r="S36" s="22"/>
    </row>
    <row r="37" spans="2:19" x14ac:dyDescent="0.15">
      <c r="B37" s="78"/>
      <c r="C37" s="79"/>
      <c r="D37" s="79"/>
      <c r="E37" s="79"/>
      <c r="F37" s="79"/>
      <c r="G37" s="79"/>
      <c r="H37" s="79"/>
      <c r="I37" s="79"/>
      <c r="J37" s="79"/>
      <c r="K37" s="79"/>
      <c r="L37" s="79"/>
      <c r="M37" s="79"/>
      <c r="N37" s="79"/>
      <c r="O37" s="79"/>
      <c r="P37" s="79"/>
      <c r="Q37" s="79"/>
      <c r="R37" s="79"/>
      <c r="S37" s="79"/>
    </row>
    <row r="38" spans="2:19" ht="35.25" customHeight="1" x14ac:dyDescent="0.15"/>
    <row r="39" spans="2:19" x14ac:dyDescent="0.15">
      <c r="B39" s="37"/>
      <c r="C39" s="22"/>
      <c r="D39" s="22"/>
      <c r="E39" s="22"/>
      <c r="F39" s="22"/>
      <c r="G39" s="22"/>
      <c r="H39" s="22"/>
      <c r="I39" s="22"/>
      <c r="J39" s="22"/>
      <c r="K39" s="22"/>
      <c r="L39" s="22"/>
      <c r="M39" s="22"/>
      <c r="N39" s="22"/>
      <c r="O39" s="22"/>
      <c r="P39" s="22"/>
      <c r="Q39" s="22"/>
      <c r="R39" s="22"/>
      <c r="S39" s="22"/>
    </row>
    <row r="40" spans="2:19" x14ac:dyDescent="0.15">
      <c r="B40" s="37"/>
      <c r="C40" s="22"/>
      <c r="D40" s="22"/>
      <c r="E40" s="22"/>
      <c r="F40" s="22"/>
      <c r="G40" s="22"/>
      <c r="H40" s="22"/>
      <c r="I40" s="22"/>
      <c r="J40" s="22"/>
      <c r="K40" s="22"/>
      <c r="L40" s="22"/>
      <c r="M40" s="22"/>
      <c r="N40" s="22"/>
      <c r="O40" s="22"/>
      <c r="P40" s="22"/>
      <c r="Q40" s="22"/>
      <c r="R40" s="22"/>
      <c r="S40" s="22"/>
    </row>
    <row r="41" spans="2:19" x14ac:dyDescent="0.15">
      <c r="B41" s="37"/>
      <c r="C41" s="22"/>
      <c r="D41" s="22"/>
      <c r="E41" s="22"/>
      <c r="F41" s="22"/>
      <c r="G41" s="22"/>
      <c r="H41" s="22"/>
      <c r="I41" s="22"/>
      <c r="J41" s="22"/>
      <c r="K41" s="22"/>
      <c r="L41" s="22"/>
      <c r="M41" s="22"/>
      <c r="N41" s="22"/>
      <c r="O41" s="22"/>
      <c r="P41" s="22"/>
      <c r="Q41" s="22"/>
      <c r="R41" s="22"/>
      <c r="S41" s="22"/>
    </row>
  </sheetData>
  <mergeCells count="14">
    <mergeCell ref="B2:B3"/>
    <mergeCell ref="C2:L2"/>
    <mergeCell ref="C3:D3"/>
    <mergeCell ref="E3:F3"/>
    <mergeCell ref="G3:H3"/>
    <mergeCell ref="I3:J3"/>
    <mergeCell ref="K3:L3"/>
    <mergeCell ref="B18:B19"/>
    <mergeCell ref="C18:L18"/>
    <mergeCell ref="C19:D19"/>
    <mergeCell ref="E19:F19"/>
    <mergeCell ref="G19:H19"/>
    <mergeCell ref="I19:J19"/>
    <mergeCell ref="K19:L19"/>
  </mergeCells>
  <phoneticPr fontId="2"/>
  <printOptions horizontalCentered="1"/>
  <pageMargins left="0.70866141732283472" right="0.70866141732283472" top="0.74803149606299213" bottom="0.74803149606299213" header="0.31496062992125984" footer="0.31496062992125984"/>
  <pageSetup paperSize="9" scale="9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Button 1">
              <controlPr defaultSize="0" print="0" autoFill="0" autoPict="0" macro="[0]!データ削除24">
                <anchor moveWithCells="1" sizeWithCells="1">
                  <from>
                    <xdr:col>31</xdr:col>
                    <xdr:colOff>361950</xdr:colOff>
                    <xdr:row>2</xdr:row>
                    <xdr:rowOff>180975</xdr:rowOff>
                  </from>
                  <to>
                    <xdr:col>34</xdr:col>
                    <xdr:colOff>504825</xdr:colOff>
                    <xdr:row>5</xdr:row>
                    <xdr:rowOff>38100</xdr:rowOff>
                  </to>
                </anchor>
              </controlPr>
            </control>
          </mc:Choice>
        </mc:AlternateContent>
      </controls>
    </mc:Choice>
  </mc:AlternateContent>
  <tableParts count="4">
    <tablePart r:id="rId5"/>
    <tablePart r:id="rId6"/>
    <tablePart r:id="rId7"/>
    <tablePart r:id="rId8"/>
  </tablePart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2">
    <tabColor theme="9" tint="-0.499984740745262"/>
    <pageSetUpPr fitToPage="1"/>
  </sheetPr>
  <dimension ref="A1:BB43"/>
  <sheetViews>
    <sheetView showGridLines="0" view="pageBreakPreview" zoomScale="80" zoomScaleNormal="80" zoomScaleSheetLayoutView="80" workbookViewId="0">
      <selection activeCell="L1" sqref="L1:AI1048576"/>
    </sheetView>
  </sheetViews>
  <sheetFormatPr defaultColWidth="13.75" defaultRowHeight="18.75" x14ac:dyDescent="0.15"/>
  <cols>
    <col min="1" max="1" width="15.625" style="537" customWidth="1"/>
    <col min="2" max="10" width="8.75" style="537" customWidth="1"/>
    <col min="11" max="11" width="8" style="537" customWidth="1"/>
    <col min="12" max="12" width="8.125" style="537" hidden="1" customWidth="1"/>
    <col min="13" max="13" width="9.75" style="537" hidden="1" customWidth="1"/>
    <col min="14" max="15" width="11.25" style="537" hidden="1" customWidth="1"/>
    <col min="16" max="16" width="8.125" style="537" hidden="1" customWidth="1"/>
    <col min="17" max="17" width="11.25" style="537" hidden="1" customWidth="1"/>
    <col min="18" max="18" width="12.875" style="537" hidden="1" customWidth="1"/>
    <col min="19" max="19" width="14.375" style="537" hidden="1" customWidth="1"/>
    <col min="20" max="21" width="11.25" style="537" hidden="1" customWidth="1"/>
    <col min="22" max="22" width="14.375" style="537" hidden="1" customWidth="1"/>
    <col min="23" max="23" width="12.875" style="537" hidden="1" customWidth="1"/>
    <col min="24" max="26" width="11.25" style="537" hidden="1" customWidth="1"/>
    <col min="27" max="30" width="9.75" style="537" hidden="1" customWidth="1"/>
    <col min="31" max="31" width="8.125" style="537" hidden="1" customWidth="1"/>
    <col min="32" max="32" width="4.75" style="537" hidden="1" customWidth="1"/>
    <col min="33" max="33" width="6.25" style="537" hidden="1" customWidth="1"/>
    <col min="34" max="35" width="13.75" style="537" hidden="1" customWidth="1"/>
    <col min="36" max="36" width="6.75" style="537" hidden="1" customWidth="1"/>
    <col min="37" max="54" width="6.75" style="537" customWidth="1"/>
    <col min="55" max="16384" width="13.75" style="537"/>
  </cols>
  <sheetData>
    <row r="1" spans="1:54" s="3" customFormat="1" ht="19.5" x14ac:dyDescent="0.15">
      <c r="A1" s="2" t="s">
        <v>386</v>
      </c>
    </row>
    <row r="2" spans="1:54" ht="19.5" thickBot="1" x14ac:dyDescent="0.2">
      <c r="A2" s="4"/>
    </row>
    <row r="3" spans="1:54" ht="18.75" customHeight="1" thickTop="1" x14ac:dyDescent="0.15">
      <c r="A3" s="545"/>
      <c r="B3" s="545" t="s">
        <v>387</v>
      </c>
      <c r="C3" s="545" t="s">
        <v>388</v>
      </c>
      <c r="D3" s="545" t="s">
        <v>389</v>
      </c>
      <c r="E3" s="545" t="s">
        <v>390</v>
      </c>
      <c r="F3" s="545" t="s">
        <v>391</v>
      </c>
      <c r="G3" s="545" t="s">
        <v>392</v>
      </c>
      <c r="H3" s="545" t="s">
        <v>393</v>
      </c>
      <c r="I3" s="545" t="s">
        <v>394</v>
      </c>
      <c r="J3" s="545" t="s">
        <v>62</v>
      </c>
      <c r="L3" s="562" t="s">
        <v>373</v>
      </c>
      <c r="M3" s="637" t="s">
        <v>395</v>
      </c>
      <c r="N3" s="638" t="s">
        <v>396</v>
      </c>
      <c r="O3" s="639" t="s">
        <v>397</v>
      </c>
      <c r="P3" s="639" t="s">
        <v>398</v>
      </c>
      <c r="Q3" s="639" t="s">
        <v>399</v>
      </c>
      <c r="R3" s="639" t="s">
        <v>400</v>
      </c>
      <c r="S3" s="639" t="s">
        <v>401</v>
      </c>
      <c r="T3" s="639" t="s">
        <v>402</v>
      </c>
      <c r="U3" s="639" t="s">
        <v>403</v>
      </c>
      <c r="V3" s="639" t="s">
        <v>404</v>
      </c>
      <c r="W3" s="639" t="s">
        <v>565</v>
      </c>
      <c r="X3" s="639" t="s">
        <v>566</v>
      </c>
      <c r="Y3" s="639" t="s">
        <v>567</v>
      </c>
      <c r="Z3" s="639" t="s">
        <v>568</v>
      </c>
      <c r="AA3" s="639" t="s">
        <v>569</v>
      </c>
      <c r="AB3" s="639" t="s">
        <v>570</v>
      </c>
      <c r="AC3" s="639" t="s">
        <v>571</v>
      </c>
      <c r="AD3" s="639" t="s">
        <v>572</v>
      </c>
      <c r="AE3" s="693" t="s">
        <v>573</v>
      </c>
      <c r="AF3" s="537" t="s">
        <v>385</v>
      </c>
      <c r="AJ3" s="617" t="s">
        <v>395</v>
      </c>
      <c r="AK3" s="617"/>
      <c r="AL3" s="617"/>
      <c r="AM3" s="617"/>
      <c r="AN3" s="617"/>
      <c r="AO3" s="617"/>
      <c r="AP3" s="617"/>
      <c r="AQ3" s="617"/>
      <c r="AR3" s="617"/>
      <c r="AS3" s="617"/>
      <c r="AT3" s="617"/>
      <c r="AU3" s="617"/>
      <c r="AV3" s="617"/>
      <c r="AW3" s="617"/>
      <c r="AX3" s="617"/>
      <c r="AY3" s="617"/>
      <c r="AZ3" s="617"/>
      <c r="BA3" s="617"/>
      <c r="BB3" s="617"/>
    </row>
    <row r="4" spans="1:54" ht="18.75" customHeight="1" x14ac:dyDescent="0.15">
      <c r="A4" s="968" t="s">
        <v>2</v>
      </c>
      <c r="B4" s="546">
        <f>HLOOKUP($AJ$3,'6-Ⅰ①'!$M$3:$AE$16,2,FALSE)+HLOOKUP($AJ$4,'6-Ⅰ①'!$M$3:$AE$16,2,FALSE)+HLOOKUP($AJ$5,'6-Ⅰ①'!$M$3:$AE$16,2,FALSE)</f>
        <v>3</v>
      </c>
      <c r="C4" s="546">
        <f>HLOOKUP($AJ$6,'6-Ⅰ①'!$M$3:$AE$16,2,FALSE)+HLOOKUP($AJ$7,'6-Ⅰ①'!$M$3:$AE$16,2,FALSE)</f>
        <v>10</v>
      </c>
      <c r="D4" s="546">
        <f>HLOOKUP($AJ$8,'6-Ⅰ①'!$M$3:$AE$16,2,FALSE)+HLOOKUP($AJ$9,'6-Ⅰ①'!$M$3:$AE$16,2,FALSE)+HLOOKUP($AJ$10,'6-Ⅰ①'!$M$3:$AE$16,2,FALSE)+HLOOKUP($AJ$11,'6-Ⅰ①'!$M$3:$AE$16,2,FALSE)</f>
        <v>38</v>
      </c>
      <c r="E4" s="546">
        <f>HLOOKUP($AJ$12,'6-Ⅰ①'!$M$3:$AE$16,2,FALSE)+HLOOKUP($AJ$13,'6-Ⅰ①'!$M$3:$AE$16,2,FALSE)+HLOOKUP($AJ$14,'6-Ⅰ①'!$M$3:$AE$16,2,FALSE)</f>
        <v>7</v>
      </c>
      <c r="F4" s="546">
        <f>HLOOKUP($AJ$15,'6-Ⅰ①'!$M$3:$AE$16,2,FALSE)+HLOOKUP($AJ$16,'6-Ⅰ①'!$M$3:$AE$16,2,FALSE)</f>
        <v>3</v>
      </c>
      <c r="G4" s="546">
        <f>HLOOKUP($AJ$17,'6-Ⅰ①'!$M$3:$AE$16,2,FALSE)+HLOOKUP($AJ$18,'6-Ⅰ①'!$M$3:$AE$16,2,FALSE)+HLOOKUP($AJ$19,'6-Ⅰ①'!$M$3:$AE$16,2,FALSE)</f>
        <v>15</v>
      </c>
      <c r="H4" s="546">
        <f>HLOOKUP($AJ$20,'6-Ⅰ①'!$M$3:$AE$16,2,FALSE)</f>
        <v>27</v>
      </c>
      <c r="I4" s="546">
        <f>HLOOKUP($AJ$21,'6-Ⅰ①'!$M$3:$AE$16,2,FALSE)</f>
        <v>53</v>
      </c>
      <c r="J4" s="547">
        <f>SUM(B4:I4)</f>
        <v>156</v>
      </c>
      <c r="L4" s="619" t="s">
        <v>2</v>
      </c>
      <c r="M4" s="642">
        <v>0</v>
      </c>
      <c r="N4" s="642">
        <v>3</v>
      </c>
      <c r="O4" s="642">
        <v>0</v>
      </c>
      <c r="P4" s="642">
        <v>2</v>
      </c>
      <c r="Q4" s="642">
        <v>8</v>
      </c>
      <c r="R4" s="642">
        <v>36</v>
      </c>
      <c r="S4" s="642">
        <v>1</v>
      </c>
      <c r="T4" s="642">
        <v>1</v>
      </c>
      <c r="U4" s="642">
        <v>0</v>
      </c>
      <c r="V4" s="642">
        <v>4</v>
      </c>
      <c r="W4" s="642">
        <v>1</v>
      </c>
      <c r="X4" s="642">
        <v>2</v>
      </c>
      <c r="Y4" s="642">
        <v>1</v>
      </c>
      <c r="Z4" s="642">
        <v>2</v>
      </c>
      <c r="AA4" s="642">
        <v>1</v>
      </c>
      <c r="AB4" s="642">
        <v>6</v>
      </c>
      <c r="AC4" s="642">
        <v>8</v>
      </c>
      <c r="AD4" s="642">
        <v>27</v>
      </c>
      <c r="AE4" s="694">
        <v>53</v>
      </c>
      <c r="AJ4" s="617" t="s">
        <v>396</v>
      </c>
      <c r="AL4" s="617"/>
    </row>
    <row r="5" spans="1:54" ht="18.75" customHeight="1" x14ac:dyDescent="0.15">
      <c r="A5" s="970"/>
      <c r="B5" s="549">
        <f>B4/B$22</f>
        <v>1.7814726840855108E-3</v>
      </c>
      <c r="C5" s="549">
        <f t="shared" ref="C5:J5" si="0">C4/C$22</f>
        <v>5.005005005005005E-3</v>
      </c>
      <c r="D5" s="549">
        <f t="shared" si="0"/>
        <v>2.8379387602688575E-2</v>
      </c>
      <c r="E5" s="549">
        <f t="shared" si="0"/>
        <v>5.4945054945054949E-3</v>
      </c>
      <c r="F5" s="549">
        <f t="shared" si="0"/>
        <v>2.4449877750611247E-3</v>
      </c>
      <c r="G5" s="549">
        <f t="shared" si="0"/>
        <v>2.8675205505639457E-3</v>
      </c>
      <c r="H5" s="549">
        <f t="shared" si="0"/>
        <v>0.16770186335403728</v>
      </c>
      <c r="I5" s="549">
        <f t="shared" si="0"/>
        <v>2.5505293551491819E-2</v>
      </c>
      <c r="J5" s="549">
        <f t="shared" si="0"/>
        <v>1.0405549626467449E-2</v>
      </c>
      <c r="L5" s="619" t="s">
        <v>3</v>
      </c>
      <c r="M5" s="647">
        <v>4</v>
      </c>
      <c r="N5" s="647">
        <v>27</v>
      </c>
      <c r="O5" s="647">
        <v>2</v>
      </c>
      <c r="P5" s="647">
        <v>14</v>
      </c>
      <c r="Q5" s="647">
        <v>22</v>
      </c>
      <c r="R5" s="647">
        <v>21</v>
      </c>
      <c r="S5" s="647">
        <v>8</v>
      </c>
      <c r="T5" s="647">
        <v>9</v>
      </c>
      <c r="U5" s="647">
        <v>0</v>
      </c>
      <c r="V5" s="647">
        <v>20</v>
      </c>
      <c r="W5" s="647">
        <v>9</v>
      </c>
      <c r="X5" s="647">
        <v>0</v>
      </c>
      <c r="Y5" s="647">
        <v>8</v>
      </c>
      <c r="Z5" s="647">
        <v>12</v>
      </c>
      <c r="AA5" s="647">
        <v>10</v>
      </c>
      <c r="AB5" s="647">
        <v>43</v>
      </c>
      <c r="AC5" s="647">
        <v>24</v>
      </c>
      <c r="AD5" s="647">
        <v>22</v>
      </c>
      <c r="AE5" s="618">
        <v>75</v>
      </c>
      <c r="AJ5" s="617" t="s">
        <v>397</v>
      </c>
      <c r="AL5" s="617"/>
    </row>
    <row r="6" spans="1:54" ht="18.75" customHeight="1" x14ac:dyDescent="0.15">
      <c r="A6" s="968" t="s">
        <v>3</v>
      </c>
      <c r="B6" s="546">
        <f>HLOOKUP($AJ$3,'6-Ⅰ①'!$M$3:$AE$16,3,FALSE)+HLOOKUP($AJ$4,'6-Ⅰ①'!$M$3:$AE$16,3,FALSE)+HLOOKUP($AJ$5,'6-Ⅰ①'!$M$3:$AE$16,3,FALSE)</f>
        <v>33</v>
      </c>
      <c r="C6" s="546">
        <f>HLOOKUP($AJ$6,'6-Ⅰ①'!$M$3:$AE$16,3,FALSE)+HLOOKUP($AJ$7,'6-Ⅰ①'!$M$3:$AE$16,3,FALSE)</f>
        <v>36</v>
      </c>
      <c r="D6" s="546">
        <f>HLOOKUP($AJ$8,'6-Ⅰ①'!$M$3:$AE$16,3,FALSE)+HLOOKUP($AJ$9,'6-Ⅰ①'!$M$3:$AE$16,3,FALSE)+HLOOKUP($AJ$10,'6-Ⅰ①'!$M$3:$AE$16,3,FALSE)+HLOOKUP($AJ$11,'6-Ⅰ①'!$M$3:$AE$16,3,FALSE)</f>
        <v>38</v>
      </c>
      <c r="E6" s="546">
        <f>HLOOKUP($AJ$12,'6-Ⅰ①'!$M$3:$AE$16,3,FALSE)+HLOOKUP($AJ$13,'6-Ⅰ①'!$M$3:$AE$16,3,FALSE)+HLOOKUP($AJ$14,'6-Ⅰ①'!$M$3:$AE$16,3,FALSE)</f>
        <v>29</v>
      </c>
      <c r="F6" s="546">
        <f>HLOOKUP($AJ$15,'6-Ⅰ①'!$M$3:$AE$16,3,FALSE)+HLOOKUP($AJ$16,'6-Ⅰ①'!$M$3:$AE$16,3,FALSE)</f>
        <v>20</v>
      </c>
      <c r="G6" s="546">
        <f>HLOOKUP($AJ$17,'6-Ⅰ①'!$M$3:$AE$16,3,FALSE)+HLOOKUP($AJ$18,'6-Ⅰ①'!$M$3:$AE$16,3,FALSE)+HLOOKUP($AJ$19,'6-Ⅰ①'!$M$3:$AE$16,3,FALSE)</f>
        <v>77</v>
      </c>
      <c r="H6" s="546">
        <f>HLOOKUP($AJ$20,'6-Ⅰ①'!$M$3:$AE$16,3,FALSE)</f>
        <v>22</v>
      </c>
      <c r="I6" s="546">
        <f>HLOOKUP($AJ$21,'6-Ⅰ①'!$M$3:$AE$16,3,FALSE)</f>
        <v>75</v>
      </c>
      <c r="J6" s="547">
        <f>SUM(B6:I6)</f>
        <v>330</v>
      </c>
      <c r="L6" s="619" t="s">
        <v>4</v>
      </c>
      <c r="M6" s="642">
        <v>3</v>
      </c>
      <c r="N6" s="642">
        <v>63</v>
      </c>
      <c r="O6" s="642">
        <v>9</v>
      </c>
      <c r="P6" s="642">
        <v>40</v>
      </c>
      <c r="Q6" s="642">
        <v>31</v>
      </c>
      <c r="R6" s="642">
        <v>47</v>
      </c>
      <c r="S6" s="642">
        <v>12</v>
      </c>
      <c r="T6" s="642">
        <v>9</v>
      </c>
      <c r="U6" s="642">
        <v>1</v>
      </c>
      <c r="V6" s="642">
        <v>26</v>
      </c>
      <c r="W6" s="642">
        <v>9</v>
      </c>
      <c r="X6" s="642">
        <v>10</v>
      </c>
      <c r="Y6" s="642">
        <v>13</v>
      </c>
      <c r="Z6" s="642">
        <v>32</v>
      </c>
      <c r="AA6" s="642">
        <v>27</v>
      </c>
      <c r="AB6" s="642">
        <v>80</v>
      </c>
      <c r="AC6" s="642">
        <v>32</v>
      </c>
      <c r="AD6" s="642">
        <v>18</v>
      </c>
      <c r="AE6" s="694">
        <v>95</v>
      </c>
      <c r="AJ6" s="617" t="s">
        <v>398</v>
      </c>
      <c r="AL6" s="617"/>
    </row>
    <row r="7" spans="1:54" ht="18.75" customHeight="1" x14ac:dyDescent="0.15">
      <c r="A7" s="969"/>
      <c r="B7" s="549">
        <f>B6/B$22</f>
        <v>1.9596199524940617E-2</v>
      </c>
      <c r="C7" s="549">
        <f t="shared" ref="C7:J7" si="1">C6/C$22</f>
        <v>1.8018018018018018E-2</v>
      </c>
      <c r="D7" s="549">
        <f t="shared" si="1"/>
        <v>2.8379387602688575E-2</v>
      </c>
      <c r="E7" s="549">
        <f t="shared" si="1"/>
        <v>2.2762951334379906E-2</v>
      </c>
      <c r="F7" s="549">
        <f t="shared" si="1"/>
        <v>1.6299918500407497E-2</v>
      </c>
      <c r="G7" s="549">
        <f t="shared" si="1"/>
        <v>1.4719938826228254E-2</v>
      </c>
      <c r="H7" s="549">
        <f t="shared" si="1"/>
        <v>0.13664596273291926</v>
      </c>
      <c r="I7" s="549">
        <f t="shared" si="1"/>
        <v>3.6092396535129932E-2</v>
      </c>
      <c r="J7" s="549">
        <f t="shared" si="1"/>
        <v>2.2011739594450373E-2</v>
      </c>
      <c r="L7" s="619" t="s">
        <v>5</v>
      </c>
      <c r="M7" s="647">
        <v>22</v>
      </c>
      <c r="N7" s="647">
        <v>98</v>
      </c>
      <c r="O7" s="647">
        <v>26</v>
      </c>
      <c r="P7" s="647">
        <v>67</v>
      </c>
      <c r="Q7" s="647">
        <v>67</v>
      </c>
      <c r="R7" s="647">
        <v>88</v>
      </c>
      <c r="S7" s="647">
        <v>29</v>
      </c>
      <c r="T7" s="647">
        <v>18</v>
      </c>
      <c r="U7" s="647">
        <v>15</v>
      </c>
      <c r="V7" s="647">
        <v>82</v>
      </c>
      <c r="W7" s="647">
        <v>29</v>
      </c>
      <c r="X7" s="647">
        <v>33</v>
      </c>
      <c r="Y7" s="647">
        <v>35</v>
      </c>
      <c r="Z7" s="647">
        <v>69</v>
      </c>
      <c r="AA7" s="647">
        <v>88</v>
      </c>
      <c r="AB7" s="647">
        <v>176</v>
      </c>
      <c r="AC7" s="647">
        <v>99</v>
      </c>
      <c r="AD7" s="647">
        <v>24</v>
      </c>
      <c r="AE7" s="618">
        <v>193</v>
      </c>
      <c r="AJ7" s="617" t="s">
        <v>399</v>
      </c>
      <c r="AL7" s="617"/>
    </row>
    <row r="8" spans="1:54" ht="18.75" customHeight="1" x14ac:dyDescent="0.15">
      <c r="A8" s="968" t="s">
        <v>4</v>
      </c>
      <c r="B8" s="546">
        <f>HLOOKUP($AJ$3,'6-Ⅰ①'!$M$3:$AE$16,4,FALSE)+HLOOKUP($AJ$4,'6-Ⅰ①'!$M$3:$AE$16,4,FALSE)+HLOOKUP($AJ$5,'6-Ⅰ①'!$M$3:$AE$16,4,FALSE)</f>
        <v>75</v>
      </c>
      <c r="C8" s="546">
        <f>HLOOKUP($AJ$6,'6-Ⅰ①'!$M$3:$AE$16,4,FALSE)+HLOOKUP($AJ$7,'6-Ⅰ①'!$M$3:$AE$16,4,FALSE)</f>
        <v>71</v>
      </c>
      <c r="D8" s="546">
        <f>HLOOKUP($AJ$8,'6-Ⅰ①'!$M$3:$AE$16,4,FALSE)+HLOOKUP($AJ$9,'6-Ⅰ①'!$M$3:$AE$16,4,FALSE)+HLOOKUP($AJ$10,'6-Ⅰ①'!$M$3:$AE$16,4,FALSE)+HLOOKUP($AJ$11,'6-Ⅰ①'!$M$3:$AE$16,4,FALSE)</f>
        <v>69</v>
      </c>
      <c r="E8" s="546">
        <f>HLOOKUP($AJ$12,'6-Ⅰ①'!$M$3:$AE$16,4,FALSE)+HLOOKUP($AJ$13,'6-Ⅰ①'!$M$3:$AE$16,4,FALSE)+HLOOKUP($AJ$14,'6-Ⅰ①'!$M$3:$AE$16,4,FALSE)</f>
        <v>45</v>
      </c>
      <c r="F8" s="546">
        <f>HLOOKUP($AJ$15,'6-Ⅰ①'!$M$3:$AE$16,4,FALSE)+HLOOKUP($AJ$16,'6-Ⅰ①'!$M$3:$AE$16,4,FALSE)</f>
        <v>45</v>
      </c>
      <c r="G8" s="546">
        <f>HLOOKUP($AJ$17,'6-Ⅰ①'!$M$3:$AE$16,4,FALSE)+HLOOKUP($AJ$18,'6-Ⅰ①'!$M$3:$AE$16,4,FALSE)+HLOOKUP($AJ$19,'6-Ⅰ①'!$M$3:$AE$16,4,FALSE)</f>
        <v>139</v>
      </c>
      <c r="H8" s="546">
        <f>HLOOKUP($AJ$20,'6-Ⅰ①'!$M$3:$AE$16,4,FALSE)</f>
        <v>18</v>
      </c>
      <c r="I8" s="546">
        <f>HLOOKUP($AJ$21,'6-Ⅰ①'!$M$3:$AE$16,4,FALSE)</f>
        <v>95</v>
      </c>
      <c r="J8" s="547">
        <f>SUM(B8:I8)</f>
        <v>557</v>
      </c>
      <c r="L8" s="619" t="s">
        <v>6</v>
      </c>
      <c r="M8" s="642">
        <v>58</v>
      </c>
      <c r="N8" s="642">
        <v>164</v>
      </c>
      <c r="O8" s="642">
        <v>66</v>
      </c>
      <c r="P8" s="642">
        <v>204</v>
      </c>
      <c r="Q8" s="642">
        <v>102</v>
      </c>
      <c r="R8" s="642">
        <v>142</v>
      </c>
      <c r="S8" s="642">
        <v>49</v>
      </c>
      <c r="T8" s="642">
        <v>39</v>
      </c>
      <c r="U8" s="642">
        <v>29</v>
      </c>
      <c r="V8" s="642">
        <v>141</v>
      </c>
      <c r="W8" s="642">
        <v>52</v>
      </c>
      <c r="X8" s="642">
        <v>49</v>
      </c>
      <c r="Y8" s="642">
        <v>76</v>
      </c>
      <c r="Z8" s="642">
        <v>151</v>
      </c>
      <c r="AA8" s="642">
        <v>234</v>
      </c>
      <c r="AB8" s="642">
        <v>302</v>
      </c>
      <c r="AC8" s="642">
        <v>164</v>
      </c>
      <c r="AD8" s="642">
        <v>25</v>
      </c>
      <c r="AE8" s="694">
        <v>353</v>
      </c>
      <c r="AJ8" s="617" t="s">
        <v>400</v>
      </c>
      <c r="AL8" s="617"/>
    </row>
    <row r="9" spans="1:54" ht="18.75" customHeight="1" x14ac:dyDescent="0.15">
      <c r="A9" s="969"/>
      <c r="B9" s="549">
        <f>B8/B$22</f>
        <v>4.453681710213777E-2</v>
      </c>
      <c r="C9" s="549">
        <f t="shared" ref="C9:J9" si="2">C8/C$22</f>
        <v>3.5535535535535533E-2</v>
      </c>
      <c r="D9" s="549">
        <f t="shared" si="2"/>
        <v>5.1530993278566091E-2</v>
      </c>
      <c r="E9" s="549">
        <f t="shared" si="2"/>
        <v>3.5321821036106753E-2</v>
      </c>
      <c r="F9" s="549">
        <f t="shared" si="2"/>
        <v>3.6674816625916873E-2</v>
      </c>
      <c r="G9" s="549">
        <f t="shared" si="2"/>
        <v>2.6572357101892565E-2</v>
      </c>
      <c r="H9" s="549">
        <f t="shared" si="2"/>
        <v>0.11180124223602485</v>
      </c>
      <c r="I9" s="549">
        <f t="shared" si="2"/>
        <v>4.571703561116458E-2</v>
      </c>
      <c r="J9" s="549">
        <f t="shared" si="2"/>
        <v>3.7153148345784419E-2</v>
      </c>
      <c r="L9" s="619" t="s">
        <v>7</v>
      </c>
      <c r="M9" s="647">
        <v>84</v>
      </c>
      <c r="N9" s="647">
        <v>124</v>
      </c>
      <c r="O9" s="647">
        <v>70</v>
      </c>
      <c r="P9" s="647">
        <v>216</v>
      </c>
      <c r="Q9" s="647">
        <v>96</v>
      </c>
      <c r="R9" s="647">
        <v>90</v>
      </c>
      <c r="S9" s="647">
        <v>34</v>
      </c>
      <c r="T9" s="647">
        <v>32</v>
      </c>
      <c r="U9" s="647">
        <v>32</v>
      </c>
      <c r="V9" s="647">
        <v>140</v>
      </c>
      <c r="W9" s="647">
        <v>67</v>
      </c>
      <c r="X9" s="647">
        <v>45</v>
      </c>
      <c r="Y9" s="647">
        <v>105</v>
      </c>
      <c r="Z9" s="647">
        <v>157</v>
      </c>
      <c r="AA9" s="647">
        <v>287</v>
      </c>
      <c r="AB9" s="647">
        <v>397</v>
      </c>
      <c r="AC9" s="647">
        <v>189</v>
      </c>
      <c r="AD9" s="647">
        <v>14</v>
      </c>
      <c r="AE9" s="618">
        <v>332</v>
      </c>
      <c r="AJ9" s="617" t="s">
        <v>401</v>
      </c>
      <c r="AL9" s="617"/>
    </row>
    <row r="10" spans="1:54" ht="18.75" customHeight="1" x14ac:dyDescent="0.15">
      <c r="A10" s="968" t="s">
        <v>5</v>
      </c>
      <c r="B10" s="546">
        <f>HLOOKUP($AJ$3,'6-Ⅰ①'!$M$3:$AE$16,5,FALSE)+HLOOKUP($AJ$4,'6-Ⅰ①'!$M$3:$AE$16,5,FALSE)+HLOOKUP($AJ$5,'6-Ⅰ①'!$M$3:$AE$16,5,FALSE)</f>
        <v>146</v>
      </c>
      <c r="C10" s="546">
        <f>HLOOKUP($AJ$6,'6-Ⅰ①'!$M$3:$AE$16,5,FALSE)+HLOOKUP($AJ$7,'6-Ⅰ①'!$M$3:$AE$16,5,FALSE)</f>
        <v>134</v>
      </c>
      <c r="D10" s="546">
        <f>HLOOKUP($AJ$8,'6-Ⅰ①'!$M$3:$AE$16,5,FALSE)+HLOOKUP($AJ$9,'6-Ⅰ①'!$M$3:$AE$16,5,FALSE)+HLOOKUP($AJ$10,'6-Ⅰ①'!$M$3:$AE$16,5,FALSE)+HLOOKUP($AJ$11,'6-Ⅰ①'!$M$3:$AE$16,5,FALSE)</f>
        <v>150</v>
      </c>
      <c r="E10" s="546">
        <f>HLOOKUP($AJ$12,'6-Ⅰ①'!$M$3:$AE$16,5,FALSE)+HLOOKUP($AJ$13,'6-Ⅰ①'!$M$3:$AE$16,5,FALSE)+HLOOKUP($AJ$14,'6-Ⅰ①'!$M$3:$AE$16,5,FALSE)</f>
        <v>144</v>
      </c>
      <c r="F10" s="546">
        <f>HLOOKUP($AJ$15,'6-Ⅰ①'!$M$3:$AE$16,5,FALSE)+HLOOKUP($AJ$16,'6-Ⅰ①'!$M$3:$AE$16,5,FALSE)</f>
        <v>104</v>
      </c>
      <c r="G10" s="546">
        <f>HLOOKUP($AJ$17,'6-Ⅰ①'!$M$3:$AE$16,5,FALSE)+HLOOKUP($AJ$18,'6-Ⅰ①'!$M$3:$AE$16,5,FALSE)+HLOOKUP($AJ$19,'6-Ⅰ①'!$M$3:$AE$16,5,FALSE)</f>
        <v>363</v>
      </c>
      <c r="H10" s="546">
        <f>HLOOKUP($AJ$20,'6-Ⅰ①'!$M$3:$AE$16,5,FALSE)</f>
        <v>24</v>
      </c>
      <c r="I10" s="546">
        <f>HLOOKUP($AJ$21,'6-Ⅰ①'!$M$3:$AE$16,5,FALSE)</f>
        <v>193</v>
      </c>
      <c r="J10" s="547">
        <f>SUM(B10:I10)</f>
        <v>1258</v>
      </c>
      <c r="L10" s="619" t="s">
        <v>8</v>
      </c>
      <c r="M10" s="642">
        <v>158</v>
      </c>
      <c r="N10" s="642">
        <v>202</v>
      </c>
      <c r="O10" s="642">
        <v>89</v>
      </c>
      <c r="P10" s="642">
        <v>344</v>
      </c>
      <c r="Q10" s="642">
        <v>151</v>
      </c>
      <c r="R10" s="642">
        <v>164</v>
      </c>
      <c r="S10" s="642">
        <v>41</v>
      </c>
      <c r="T10" s="642">
        <v>65</v>
      </c>
      <c r="U10" s="642">
        <v>66</v>
      </c>
      <c r="V10" s="642">
        <v>179</v>
      </c>
      <c r="W10" s="642">
        <v>94</v>
      </c>
      <c r="X10" s="642">
        <v>29</v>
      </c>
      <c r="Y10" s="642">
        <v>125</v>
      </c>
      <c r="Z10" s="642">
        <v>176</v>
      </c>
      <c r="AA10" s="642">
        <v>451</v>
      </c>
      <c r="AB10" s="642">
        <v>610</v>
      </c>
      <c r="AC10" s="642">
        <v>294</v>
      </c>
      <c r="AD10" s="642">
        <v>14</v>
      </c>
      <c r="AE10" s="694">
        <v>476</v>
      </c>
      <c r="AJ10" s="617" t="s">
        <v>402</v>
      </c>
      <c r="AL10" s="617"/>
    </row>
    <row r="11" spans="1:54" ht="18.75" customHeight="1" x14ac:dyDescent="0.15">
      <c r="A11" s="969"/>
      <c r="B11" s="549">
        <f>B10/B$22</f>
        <v>8.6698337292161518E-2</v>
      </c>
      <c r="C11" s="549">
        <f t="shared" ref="C11:J11" si="3">C10/C$22</f>
        <v>6.7067067067067068E-2</v>
      </c>
      <c r="D11" s="549">
        <f t="shared" si="3"/>
        <v>0.11202389843166542</v>
      </c>
      <c r="E11" s="549">
        <f t="shared" si="3"/>
        <v>0.11302982731554161</v>
      </c>
      <c r="F11" s="549">
        <f t="shared" si="3"/>
        <v>8.4759576202118991E-2</v>
      </c>
      <c r="G11" s="549">
        <f t="shared" si="3"/>
        <v>6.9393997323647483E-2</v>
      </c>
      <c r="H11" s="549">
        <f t="shared" si="3"/>
        <v>0.14906832298136646</v>
      </c>
      <c r="I11" s="549">
        <f t="shared" si="3"/>
        <v>9.2877767083734367E-2</v>
      </c>
      <c r="J11" s="549">
        <f t="shared" si="3"/>
        <v>8.3911419423692638E-2</v>
      </c>
      <c r="L11" s="619" t="s">
        <v>9</v>
      </c>
      <c r="M11" s="647">
        <v>167</v>
      </c>
      <c r="N11" s="647">
        <v>144</v>
      </c>
      <c r="O11" s="647">
        <v>39</v>
      </c>
      <c r="P11" s="647">
        <v>375</v>
      </c>
      <c r="Q11" s="647">
        <v>142</v>
      </c>
      <c r="R11" s="647">
        <v>92</v>
      </c>
      <c r="S11" s="647">
        <v>47</v>
      </c>
      <c r="T11" s="647">
        <v>43</v>
      </c>
      <c r="U11" s="647">
        <v>40</v>
      </c>
      <c r="V11" s="647">
        <v>129</v>
      </c>
      <c r="W11" s="647">
        <v>86</v>
      </c>
      <c r="X11" s="647">
        <v>10</v>
      </c>
      <c r="Y11" s="647">
        <v>89</v>
      </c>
      <c r="Z11" s="647">
        <v>137</v>
      </c>
      <c r="AA11" s="647">
        <v>436</v>
      </c>
      <c r="AB11" s="647">
        <v>562</v>
      </c>
      <c r="AC11" s="647">
        <v>329</v>
      </c>
      <c r="AD11" s="647">
        <v>16</v>
      </c>
      <c r="AE11" s="618">
        <v>431</v>
      </c>
      <c r="AJ11" s="617" t="s">
        <v>403</v>
      </c>
      <c r="AL11" s="617"/>
    </row>
    <row r="12" spans="1:54" ht="18.75" customHeight="1" x14ac:dyDescent="0.15">
      <c r="A12" s="968" t="s">
        <v>6</v>
      </c>
      <c r="B12" s="546">
        <f>HLOOKUP($AJ$3,'6-Ⅰ①'!$M$3:$AE$16,6,FALSE)+HLOOKUP($AJ$4,'6-Ⅰ①'!$M$3:$AE$16,6,FALSE)+HLOOKUP($AJ$5,'6-Ⅰ①'!$M$3:$AE$16,6,FALSE)</f>
        <v>288</v>
      </c>
      <c r="C12" s="546">
        <f>HLOOKUP($AJ$6,'6-Ⅰ①'!$M$3:$AE$16,6,FALSE)+HLOOKUP($AJ$7,'6-Ⅰ①'!$M$3:$AE$16,6,FALSE)</f>
        <v>306</v>
      </c>
      <c r="D12" s="546">
        <f>HLOOKUP($AJ$8,'6-Ⅰ①'!$M$3:$AE$16,6,FALSE)+HLOOKUP($AJ$9,'6-Ⅰ①'!$M$3:$AE$16,6,FALSE)+HLOOKUP($AJ$10,'6-Ⅰ①'!$M$3:$AE$16,6,FALSE)+HLOOKUP($AJ$11,'6-Ⅰ①'!$M$3:$AE$16,6,FALSE)</f>
        <v>259</v>
      </c>
      <c r="E12" s="546">
        <f>HLOOKUP($AJ$12,'6-Ⅰ①'!$M$3:$AE$16,6,FALSE)+HLOOKUP($AJ$13,'6-Ⅰ①'!$M$3:$AE$16,6,FALSE)+HLOOKUP($AJ$14,'6-Ⅰ①'!$M$3:$AE$16,6,FALSE)</f>
        <v>242</v>
      </c>
      <c r="F12" s="546">
        <f>HLOOKUP($AJ$15,'6-Ⅰ①'!$M$3:$AE$16,6,FALSE)+HLOOKUP($AJ$16,'6-Ⅰ①'!$M$3:$AE$16,6,FALSE)</f>
        <v>227</v>
      </c>
      <c r="G12" s="546">
        <f>HLOOKUP($AJ$17,'6-Ⅰ①'!$M$3:$AE$16,6,FALSE)+HLOOKUP($AJ$18,'6-Ⅰ①'!$M$3:$AE$16,6,FALSE)+HLOOKUP($AJ$19,'6-Ⅰ①'!$M$3:$AE$16,6,FALSE)</f>
        <v>700</v>
      </c>
      <c r="H12" s="546">
        <f>HLOOKUP($AJ$20,'6-Ⅰ①'!$M$3:$AE$16,6,FALSE)</f>
        <v>25</v>
      </c>
      <c r="I12" s="546">
        <f>HLOOKUP($AJ$21,'6-Ⅰ①'!$M$3:$AE$16,6,FALSE)</f>
        <v>353</v>
      </c>
      <c r="J12" s="547">
        <f>SUM(B12:I12)</f>
        <v>2400</v>
      </c>
      <c r="L12" s="619" t="s">
        <v>10</v>
      </c>
      <c r="M12" s="642">
        <v>34</v>
      </c>
      <c r="N12" s="642">
        <v>25</v>
      </c>
      <c r="O12" s="642">
        <v>3</v>
      </c>
      <c r="P12" s="642">
        <v>88</v>
      </c>
      <c r="Q12" s="642">
        <v>29</v>
      </c>
      <c r="R12" s="642">
        <v>24</v>
      </c>
      <c r="S12" s="642">
        <v>6</v>
      </c>
      <c r="T12" s="642">
        <v>3</v>
      </c>
      <c r="U12" s="642">
        <v>6</v>
      </c>
      <c r="V12" s="642">
        <v>14</v>
      </c>
      <c r="W12" s="642">
        <v>11</v>
      </c>
      <c r="X12" s="642">
        <v>3</v>
      </c>
      <c r="Y12" s="642">
        <v>10</v>
      </c>
      <c r="Z12" s="642">
        <v>29</v>
      </c>
      <c r="AA12" s="642">
        <v>112</v>
      </c>
      <c r="AB12" s="642">
        <v>159</v>
      </c>
      <c r="AC12" s="642">
        <v>111</v>
      </c>
      <c r="AD12" s="642">
        <v>1</v>
      </c>
      <c r="AE12" s="694">
        <v>70</v>
      </c>
      <c r="AJ12" s="617" t="s">
        <v>404</v>
      </c>
      <c r="AL12" s="617"/>
    </row>
    <row r="13" spans="1:54" ht="18.75" customHeight="1" x14ac:dyDescent="0.15">
      <c r="A13" s="969"/>
      <c r="B13" s="549">
        <f>B12/B$22</f>
        <v>0.17102137767220901</v>
      </c>
      <c r="C13" s="549">
        <f t="shared" ref="C13:J13" si="4">C12/C$22</f>
        <v>0.15315315315315314</v>
      </c>
      <c r="D13" s="549">
        <f t="shared" si="4"/>
        <v>0.19342793129200897</v>
      </c>
      <c r="E13" s="549">
        <f t="shared" si="4"/>
        <v>0.18995290423861852</v>
      </c>
      <c r="F13" s="549">
        <f t="shared" si="4"/>
        <v>0.18500407497962509</v>
      </c>
      <c r="G13" s="549">
        <f t="shared" si="4"/>
        <v>0.13381762569298414</v>
      </c>
      <c r="H13" s="549">
        <f t="shared" si="4"/>
        <v>0.15527950310559005</v>
      </c>
      <c r="I13" s="549">
        <f t="shared" si="4"/>
        <v>0.16987487969201154</v>
      </c>
      <c r="J13" s="549">
        <f t="shared" si="4"/>
        <v>0.16008537886872998</v>
      </c>
      <c r="L13" s="619" t="s">
        <v>574</v>
      </c>
      <c r="M13" s="647">
        <f>SUM(M4:M12)</f>
        <v>530</v>
      </c>
      <c r="N13" s="647">
        <f t="shared" ref="N13:AE13" si="5">SUM(N4:N12)</f>
        <v>850</v>
      </c>
      <c r="O13" s="647">
        <f t="shared" si="5"/>
        <v>304</v>
      </c>
      <c r="P13" s="647">
        <f t="shared" si="5"/>
        <v>1350</v>
      </c>
      <c r="Q13" s="647">
        <f t="shared" si="5"/>
        <v>648</v>
      </c>
      <c r="R13" s="647">
        <f t="shared" si="5"/>
        <v>704</v>
      </c>
      <c r="S13" s="647">
        <f t="shared" si="5"/>
        <v>227</v>
      </c>
      <c r="T13" s="647">
        <f t="shared" si="5"/>
        <v>219</v>
      </c>
      <c r="U13" s="647">
        <f t="shared" si="5"/>
        <v>189</v>
      </c>
      <c r="V13" s="647">
        <f t="shared" si="5"/>
        <v>735</v>
      </c>
      <c r="W13" s="647">
        <f t="shared" si="5"/>
        <v>358</v>
      </c>
      <c r="X13" s="647">
        <f t="shared" si="5"/>
        <v>181</v>
      </c>
      <c r="Y13" s="647">
        <f t="shared" si="5"/>
        <v>462</v>
      </c>
      <c r="Z13" s="647">
        <f t="shared" si="5"/>
        <v>765</v>
      </c>
      <c r="AA13" s="647">
        <f t="shared" si="5"/>
        <v>1646</v>
      </c>
      <c r="AB13" s="647">
        <f t="shared" si="5"/>
        <v>2335</v>
      </c>
      <c r="AC13" s="647">
        <f t="shared" si="5"/>
        <v>1250</v>
      </c>
      <c r="AD13" s="647">
        <f t="shared" si="5"/>
        <v>161</v>
      </c>
      <c r="AE13" s="618">
        <f t="shared" si="5"/>
        <v>2078</v>
      </c>
      <c r="AJ13" s="617" t="s">
        <v>565</v>
      </c>
      <c r="AL13" s="617"/>
    </row>
    <row r="14" spans="1:54" ht="18.75" customHeight="1" thickBot="1" x14ac:dyDescent="0.2">
      <c r="A14" s="968" t="s">
        <v>7</v>
      </c>
      <c r="B14" s="546">
        <f>HLOOKUP($AJ$3,'6-Ⅰ①'!$M$3:$AE$16,7,FALSE)+HLOOKUP($AJ$4,'6-Ⅰ①'!$M$3:$AE$16,7,FALSE)+HLOOKUP($AJ$5,'6-Ⅰ①'!$M$3:$AE$16,7,FALSE)</f>
        <v>278</v>
      </c>
      <c r="C14" s="546">
        <f>HLOOKUP($AJ$6,'6-Ⅰ①'!$M$3:$AE$16,7,FALSE)+HLOOKUP($AJ$7,'6-Ⅰ①'!$M$3:$AE$16,7,FALSE)</f>
        <v>312</v>
      </c>
      <c r="D14" s="546">
        <f>HLOOKUP($AJ$8,'6-Ⅰ①'!$M$3:$AE$16,7,FALSE)+HLOOKUP($AJ$9,'6-Ⅰ①'!$M$3:$AE$16,7,FALSE)+HLOOKUP($AJ$10,'6-Ⅰ①'!$M$3:$AE$16,7,FALSE)+HLOOKUP($AJ$11,'6-Ⅰ①'!$M$3:$AE$16,7,FALSE)</f>
        <v>188</v>
      </c>
      <c r="E14" s="546">
        <f>HLOOKUP($AJ$12,'6-Ⅰ①'!$M$3:$AE$16,7,FALSE)+HLOOKUP($AJ$13,'6-Ⅰ①'!$M$3:$AE$16,7,FALSE)+HLOOKUP($AJ$14,'6-Ⅰ①'!$M$3:$AE$16,7,FALSE)</f>
        <v>252</v>
      </c>
      <c r="F14" s="546">
        <f>HLOOKUP($AJ$15,'6-Ⅰ①'!$M$3:$AE$16,7,FALSE)+HLOOKUP($AJ$16,'6-Ⅰ①'!$M$3:$AE$16,7,FALSE)</f>
        <v>262</v>
      </c>
      <c r="G14" s="546">
        <f>HLOOKUP($AJ$17,'6-Ⅰ①'!$M$3:$AE$16,7,FALSE)+HLOOKUP($AJ$18,'6-Ⅰ①'!$M$3:$AE$16,7,FALSE)+HLOOKUP($AJ$19,'6-Ⅰ①'!$M$3:$AE$16,7,FALSE)</f>
        <v>873</v>
      </c>
      <c r="H14" s="546">
        <f>HLOOKUP($AJ$20,'6-Ⅰ①'!$M$3:$AE$16,7,FALSE)</f>
        <v>14</v>
      </c>
      <c r="I14" s="546">
        <f>HLOOKUP($AJ$21,'6-Ⅰ①'!$M$3:$AE$16,7,FALSE)</f>
        <v>332</v>
      </c>
      <c r="J14" s="547">
        <f>SUM(B14:I14)</f>
        <v>2511</v>
      </c>
      <c r="M14" s="695" t="s">
        <v>308</v>
      </c>
      <c r="N14" s="696" t="s">
        <v>588</v>
      </c>
      <c r="O14" s="696" t="s">
        <v>589</v>
      </c>
      <c r="P14" s="696" t="s">
        <v>590</v>
      </c>
      <c r="Q14" s="696" t="s">
        <v>591</v>
      </c>
      <c r="R14" s="696" t="s">
        <v>592</v>
      </c>
      <c r="S14" s="696" t="s">
        <v>593</v>
      </c>
      <c r="T14" s="696" t="s">
        <v>594</v>
      </c>
      <c r="U14" s="696" t="s">
        <v>595</v>
      </c>
      <c r="V14" s="696" t="s">
        <v>596</v>
      </c>
      <c r="W14" s="696" t="s">
        <v>597</v>
      </c>
      <c r="X14" s="696" t="s">
        <v>598</v>
      </c>
      <c r="Y14" s="696" t="s">
        <v>599</v>
      </c>
      <c r="Z14" s="696" t="s">
        <v>600</v>
      </c>
      <c r="AA14" s="696" t="s">
        <v>601</v>
      </c>
      <c r="AB14" s="696" t="s">
        <v>602</v>
      </c>
      <c r="AC14" s="696" t="s">
        <v>603</v>
      </c>
      <c r="AD14" s="696" t="s">
        <v>604</v>
      </c>
      <c r="AE14" s="697" t="s">
        <v>605</v>
      </c>
      <c r="AF14" s="698" t="s">
        <v>606</v>
      </c>
      <c r="AJ14" s="617" t="s">
        <v>566</v>
      </c>
      <c r="AL14" s="617"/>
    </row>
    <row r="15" spans="1:54" ht="18.75" customHeight="1" thickTop="1" thickBot="1" x14ac:dyDescent="0.2">
      <c r="A15" s="969"/>
      <c r="B15" s="549">
        <f>B14/B$22</f>
        <v>0.16508313539192399</v>
      </c>
      <c r="C15" s="549">
        <f t="shared" ref="C15:J15" si="6">C14/C$22</f>
        <v>0.15615615615615616</v>
      </c>
      <c r="D15" s="549">
        <f t="shared" si="6"/>
        <v>0.14040328603435401</v>
      </c>
      <c r="E15" s="549">
        <f t="shared" si="6"/>
        <v>0.19780219780219779</v>
      </c>
      <c r="F15" s="549">
        <f t="shared" si="6"/>
        <v>0.21352893235533824</v>
      </c>
      <c r="G15" s="549">
        <f t="shared" si="6"/>
        <v>0.16688969604282164</v>
      </c>
      <c r="H15" s="549">
        <f t="shared" si="6"/>
        <v>8.6956521739130432E-2</v>
      </c>
      <c r="I15" s="549">
        <f t="shared" si="6"/>
        <v>0.15976900866217517</v>
      </c>
      <c r="J15" s="549">
        <f t="shared" si="6"/>
        <v>0.16748932764140875</v>
      </c>
      <c r="L15" s="619" t="s">
        <v>156</v>
      </c>
      <c r="M15" s="654">
        <v>133</v>
      </c>
      <c r="N15" s="655">
        <v>418</v>
      </c>
      <c r="O15" s="648">
        <v>138</v>
      </c>
      <c r="P15" s="648">
        <v>435</v>
      </c>
      <c r="Q15" s="648">
        <v>268</v>
      </c>
      <c r="R15" s="648">
        <v>378</v>
      </c>
      <c r="S15" s="648">
        <v>116</v>
      </c>
      <c r="T15" s="648">
        <v>92</v>
      </c>
      <c r="U15" s="648">
        <v>59</v>
      </c>
      <c r="V15" s="648">
        <v>344</v>
      </c>
      <c r="W15" s="648">
        <v>136</v>
      </c>
      <c r="X15" s="648">
        <v>121</v>
      </c>
      <c r="Y15" s="648">
        <v>174</v>
      </c>
      <c r="Z15" s="648">
        <v>352</v>
      </c>
      <c r="AA15" s="648">
        <v>501</v>
      </c>
      <c r="AB15" s="648">
        <v>795</v>
      </c>
      <c r="AC15" s="648">
        <v>409</v>
      </c>
      <c r="AD15" s="648">
        <v>123</v>
      </c>
      <c r="AE15" s="618">
        <v>943</v>
      </c>
      <c r="AJ15" s="617" t="s">
        <v>567</v>
      </c>
      <c r="AL15" s="617"/>
    </row>
    <row r="16" spans="1:54" ht="18.75" customHeight="1" thickTop="1" x14ac:dyDescent="0.15">
      <c r="A16" s="968" t="s">
        <v>8</v>
      </c>
      <c r="B16" s="546">
        <f>HLOOKUP($AJ$3,'6-Ⅰ①'!$M$3:$AE$16,8,FALSE)+HLOOKUP($AJ$4,'6-Ⅰ①'!$M$3:$AE$16,8,FALSE)+HLOOKUP($AJ$5,'6-Ⅰ①'!$M$3:$AE$16,8,FALSE)</f>
        <v>449</v>
      </c>
      <c r="C16" s="546">
        <f>HLOOKUP($AJ$6,'6-Ⅰ①'!$M$3:$AE$16,8,FALSE)+HLOOKUP($AJ$7,'6-Ⅰ①'!$M$3:$AE$16,8,FALSE)</f>
        <v>495</v>
      </c>
      <c r="D16" s="546">
        <f>HLOOKUP($AJ$8,'6-Ⅰ①'!$M$3:$AE$16,8,FALSE)+HLOOKUP($AJ$9,'6-Ⅰ①'!$M$3:$AE$16,8,FALSE)+HLOOKUP($AJ$10,'6-Ⅰ①'!$M$3:$AE$16,8,FALSE)+HLOOKUP($AJ$11,'6-Ⅰ①'!$M$3:$AE$16,8,FALSE)</f>
        <v>336</v>
      </c>
      <c r="E16" s="546">
        <f>HLOOKUP($AJ$12,'6-Ⅰ①'!$M$3:$AE$16,8,FALSE)+HLOOKUP($AJ$13,'6-Ⅰ①'!$M$3:$AE$16,8,FALSE)+HLOOKUP($AJ$14,'6-Ⅰ①'!$M$3:$AE$16,8,FALSE)</f>
        <v>302</v>
      </c>
      <c r="F16" s="546">
        <f>HLOOKUP($AJ$15,'6-Ⅰ①'!$M$3:$AE$16,8,FALSE)+HLOOKUP($AJ$16,'6-Ⅰ①'!$M$3:$AE$16,8,FALSE)</f>
        <v>301</v>
      </c>
      <c r="G16" s="546">
        <f>HLOOKUP($AJ$17,'6-Ⅰ①'!$M$3:$AE$16,8,FALSE)+HLOOKUP($AJ$18,'6-Ⅰ①'!$M$3:$AE$16,8,FALSE)+HLOOKUP($AJ$19,'6-Ⅰ①'!$M$3:$AE$16,8,FALSE)</f>
        <v>1355</v>
      </c>
      <c r="H16" s="546">
        <f>HLOOKUP($AJ$20,'6-Ⅰ①'!$M$3:$AE$16,8,FALSE)</f>
        <v>14</v>
      </c>
      <c r="I16" s="546">
        <f>HLOOKUP($AJ$21,'6-Ⅰ①'!$M$3:$AE$16,8,FALSE)</f>
        <v>476</v>
      </c>
      <c r="J16" s="547">
        <f>SUM(B16:I16)</f>
        <v>3728</v>
      </c>
      <c r="L16" s="619" t="s">
        <v>265</v>
      </c>
      <c r="M16" s="654">
        <v>397</v>
      </c>
      <c r="N16" s="643">
        <v>432</v>
      </c>
      <c r="O16" s="643">
        <v>166</v>
      </c>
      <c r="P16" s="643">
        <v>915</v>
      </c>
      <c r="Q16" s="643">
        <v>380</v>
      </c>
      <c r="R16" s="643">
        <v>326</v>
      </c>
      <c r="S16" s="643">
        <v>111</v>
      </c>
      <c r="T16" s="643">
        <v>127</v>
      </c>
      <c r="U16" s="643">
        <v>130</v>
      </c>
      <c r="V16" s="643">
        <v>391</v>
      </c>
      <c r="W16" s="643">
        <v>222</v>
      </c>
      <c r="X16" s="643">
        <v>60</v>
      </c>
      <c r="Y16" s="643">
        <v>288</v>
      </c>
      <c r="Z16" s="643">
        <v>413</v>
      </c>
      <c r="AA16" s="643">
        <v>1145</v>
      </c>
      <c r="AB16" s="643">
        <v>1540</v>
      </c>
      <c r="AC16" s="643">
        <v>841</v>
      </c>
      <c r="AD16" s="643">
        <v>38</v>
      </c>
      <c r="AE16" s="694">
        <v>1135</v>
      </c>
      <c r="AJ16" s="617" t="s">
        <v>568</v>
      </c>
      <c r="AL16" s="617"/>
    </row>
    <row r="17" spans="1:38" ht="18.75" customHeight="1" x14ac:dyDescent="0.15">
      <c r="A17" s="969"/>
      <c r="B17" s="549">
        <f>B16/B$22</f>
        <v>0.2666270783847981</v>
      </c>
      <c r="C17" s="549">
        <f t="shared" ref="C17:J17" si="7">C16/C$22</f>
        <v>0.24774774774774774</v>
      </c>
      <c r="D17" s="549">
        <f t="shared" si="7"/>
        <v>0.25093353248693057</v>
      </c>
      <c r="E17" s="549">
        <f t="shared" si="7"/>
        <v>0.23704866562009419</v>
      </c>
      <c r="F17" s="549">
        <f t="shared" si="7"/>
        <v>0.24531377343113284</v>
      </c>
      <c r="G17" s="549">
        <f t="shared" si="7"/>
        <v>0.25903268973427646</v>
      </c>
      <c r="H17" s="549">
        <f t="shared" si="7"/>
        <v>8.6956521739130432E-2</v>
      </c>
      <c r="I17" s="549">
        <f t="shared" si="7"/>
        <v>0.22906641000962463</v>
      </c>
      <c r="J17" s="549">
        <f t="shared" si="7"/>
        <v>0.24866595517609391</v>
      </c>
      <c r="AJ17" s="617" t="s">
        <v>569</v>
      </c>
      <c r="AL17" s="617"/>
    </row>
    <row r="18" spans="1:38" ht="18.75" customHeight="1" x14ac:dyDescent="0.15">
      <c r="A18" s="968" t="s">
        <v>9</v>
      </c>
      <c r="B18" s="546">
        <f>HLOOKUP($AJ$3,'6-Ⅰ①'!$M$3:$AE$16,9,FALSE)+HLOOKUP($AJ$4,'6-Ⅰ①'!$M$3:$AE$16,9,FALSE)+HLOOKUP($AJ$5,'6-Ⅰ①'!$M$3:$AE$16,9,FALSE)</f>
        <v>350</v>
      </c>
      <c r="C18" s="546">
        <f>HLOOKUP($AJ$6,'6-Ⅰ①'!$M$3:$AE$16,9,FALSE)+HLOOKUP($AJ$7,'6-Ⅰ①'!$M$3:$AE$16,9,FALSE)</f>
        <v>517</v>
      </c>
      <c r="D18" s="546">
        <f>HLOOKUP($AJ$8,'6-Ⅰ①'!$M$3:$AE$16,9,FALSE)+HLOOKUP($AJ$9,'6-Ⅰ①'!$M$3:$AE$16,9,FALSE)+HLOOKUP($AJ$10,'6-Ⅰ①'!$M$3:$AE$16,9,FALSE)+HLOOKUP($AJ$11,'6-Ⅰ①'!$M$3:$AE$16,9,FALSE)</f>
        <v>222</v>
      </c>
      <c r="E18" s="546">
        <f>HLOOKUP($AJ$12,'6-Ⅰ①'!$M$3:$AE$16,9,FALSE)+HLOOKUP($AJ$13,'6-Ⅰ①'!$M$3:$AE$16,9,FALSE)+HLOOKUP($AJ$14,'6-Ⅰ①'!$M$3:$AE$16,9,FALSE)</f>
        <v>225</v>
      </c>
      <c r="F18" s="546">
        <f>HLOOKUP($AJ$15,'6-Ⅰ①'!$M$3:$AE$16,9,FALSE)+HLOOKUP($AJ$16,'6-Ⅰ①'!$M$3:$AE$16,9,FALSE)</f>
        <v>226</v>
      </c>
      <c r="G18" s="546">
        <f>HLOOKUP($AJ$17,'6-Ⅰ①'!$M$3:$AE$16,9,FALSE)+HLOOKUP($AJ$18,'6-Ⅰ①'!$M$3:$AE$16,9,FALSE)+HLOOKUP($AJ$19,'6-Ⅰ①'!$M$3:$AE$16,9,FALSE)</f>
        <v>1327</v>
      </c>
      <c r="H18" s="546">
        <f>HLOOKUP($AJ$20,'6-Ⅰ①'!$M$3:$AE$16,9,FALSE)</f>
        <v>16</v>
      </c>
      <c r="I18" s="546">
        <f>HLOOKUP($AJ$21,'6-Ⅰ①'!$M$3:$AE$16,9,FALSE)</f>
        <v>431</v>
      </c>
      <c r="J18" s="547">
        <f>SUM(B18:I18)</f>
        <v>3314</v>
      </c>
      <c r="AJ18" s="617" t="s">
        <v>570</v>
      </c>
      <c r="AL18" s="617"/>
    </row>
    <row r="19" spans="1:38" ht="18.75" customHeight="1" x14ac:dyDescent="0.15">
      <c r="A19" s="969"/>
      <c r="B19" s="549">
        <f>B18/B$22</f>
        <v>0.20783847980997625</v>
      </c>
      <c r="C19" s="549">
        <f t="shared" ref="C19:J19" si="8">C18/C$22</f>
        <v>0.25875875875875876</v>
      </c>
      <c r="D19" s="549">
        <f t="shared" si="8"/>
        <v>0.16579536967886482</v>
      </c>
      <c r="E19" s="549">
        <f t="shared" si="8"/>
        <v>0.17660910518053374</v>
      </c>
      <c r="F19" s="549">
        <f t="shared" si="8"/>
        <v>0.18418907905460472</v>
      </c>
      <c r="G19" s="549">
        <f t="shared" si="8"/>
        <v>0.25367998470655706</v>
      </c>
      <c r="H19" s="549">
        <f t="shared" si="8"/>
        <v>9.9378881987577633E-2</v>
      </c>
      <c r="I19" s="549">
        <f t="shared" si="8"/>
        <v>0.20741097208854667</v>
      </c>
      <c r="J19" s="549">
        <f t="shared" si="8"/>
        <v>0.221051227321238</v>
      </c>
      <c r="AJ19" s="617" t="s">
        <v>571</v>
      </c>
      <c r="AL19" s="617"/>
    </row>
    <row r="20" spans="1:38" ht="18.75" customHeight="1" x14ac:dyDescent="0.15">
      <c r="A20" s="968" t="s">
        <v>10</v>
      </c>
      <c r="B20" s="546">
        <f>HLOOKUP($AJ$3,'6-Ⅰ①'!$M$3:$AE$16,10,FALSE)+HLOOKUP($AJ$4,'6-Ⅰ①'!$M$3:$AE$16,10,FALSE)+HLOOKUP($AJ$5,'6-Ⅰ①'!$M$3:$AE$16,10,FALSE)</f>
        <v>62</v>
      </c>
      <c r="C20" s="546">
        <f>HLOOKUP($AJ$6,'6-Ⅰ①'!$M$3:$AE$16,10,FALSE)+HLOOKUP($AJ$7,'6-Ⅰ①'!$M$3:$AE$16,10,FALSE)</f>
        <v>117</v>
      </c>
      <c r="D20" s="546">
        <f>HLOOKUP($AJ$8,'6-Ⅰ①'!$M$3:$AE$16,10,FALSE)+HLOOKUP($AJ$9,'6-Ⅰ①'!$M$3:$AE$16,10,FALSE)+HLOOKUP($AJ$10,'6-Ⅰ①'!$M$3:$AE$16,10,FALSE)+HLOOKUP($AJ$11,'6-Ⅰ①'!$M$3:$AE$16,10,FALSE)</f>
        <v>39</v>
      </c>
      <c r="E20" s="546">
        <f>HLOOKUP($AJ$12,'6-Ⅰ①'!$M$3:$AE$16,10,FALSE)+HLOOKUP($AJ$13,'6-Ⅰ①'!$M$3:$AE$16,10,FALSE)+HLOOKUP($AJ$14,'6-Ⅰ①'!$M$3:$AE$16,10,FALSE)</f>
        <v>28</v>
      </c>
      <c r="F20" s="546">
        <f>HLOOKUP($AJ$15,'6-Ⅰ①'!$M$3:$AE$16,10,FALSE)+HLOOKUP($AJ$16,'6-Ⅰ①'!$M$3:$AE$16,10,FALSE)</f>
        <v>39</v>
      </c>
      <c r="G20" s="546">
        <f>HLOOKUP($AJ$17,'6-Ⅰ①'!$M$3:$AE$16,10,FALSE)+HLOOKUP($AJ$18,'6-Ⅰ①'!$M$3:$AE$16,10,FALSE)+HLOOKUP($AJ$19,'6-Ⅰ①'!$M$3:$AE$16,10,FALSE)</f>
        <v>382</v>
      </c>
      <c r="H20" s="546">
        <f>HLOOKUP($AJ$20,'6-Ⅰ①'!$M$3:$AE$16,10,FALSE)</f>
        <v>1</v>
      </c>
      <c r="I20" s="546">
        <f>HLOOKUP($AJ$21,'6-Ⅰ①'!$M$3:$AE$16,10,FALSE)</f>
        <v>70</v>
      </c>
      <c r="J20" s="547">
        <f>SUM(B20:I20)</f>
        <v>738</v>
      </c>
      <c r="AJ20" s="617" t="s">
        <v>572</v>
      </c>
      <c r="AL20" s="617"/>
    </row>
    <row r="21" spans="1:38" ht="18.75" customHeight="1" x14ac:dyDescent="0.15">
      <c r="A21" s="969"/>
      <c r="B21" s="549">
        <f>B20/B$22</f>
        <v>3.6817102137767219E-2</v>
      </c>
      <c r="C21" s="549">
        <f t="shared" ref="C21:J21" si="9">C20/C$22</f>
        <v>5.8558558558558557E-2</v>
      </c>
      <c r="D21" s="549">
        <f t="shared" si="9"/>
        <v>2.9126213592233011E-2</v>
      </c>
      <c r="E21" s="549">
        <f t="shared" si="9"/>
        <v>2.197802197802198E-2</v>
      </c>
      <c r="F21" s="549">
        <f t="shared" si="9"/>
        <v>3.1784841075794622E-2</v>
      </c>
      <c r="G21" s="549">
        <f t="shared" si="9"/>
        <v>7.3026190021028489E-2</v>
      </c>
      <c r="H21" s="549">
        <f t="shared" si="9"/>
        <v>6.2111801242236021E-3</v>
      </c>
      <c r="I21" s="549">
        <f t="shared" si="9"/>
        <v>3.3686236766121272E-2</v>
      </c>
      <c r="J21" s="549">
        <f t="shared" si="9"/>
        <v>4.922625400213447E-2</v>
      </c>
      <c r="AJ21" s="617" t="s">
        <v>573</v>
      </c>
      <c r="AL21" s="617"/>
    </row>
    <row r="22" spans="1:38" ht="18.75" customHeight="1" x14ac:dyDescent="0.15">
      <c r="A22" s="971" t="s">
        <v>161</v>
      </c>
      <c r="B22" s="550">
        <f>SUM(M13:O13)</f>
        <v>1684</v>
      </c>
      <c r="C22" s="550">
        <f>SUM(P13:Q13)</f>
        <v>1998</v>
      </c>
      <c r="D22" s="550">
        <f>SUM(R13:U13)</f>
        <v>1339</v>
      </c>
      <c r="E22" s="550">
        <f>SUM(V13:X13)</f>
        <v>1274</v>
      </c>
      <c r="F22" s="550">
        <f>SUM(Y13:Z13)</f>
        <v>1227</v>
      </c>
      <c r="G22" s="550">
        <f>SUM(AA13:AC13)</f>
        <v>5231</v>
      </c>
      <c r="H22" s="550">
        <f>AD13</f>
        <v>161</v>
      </c>
      <c r="I22" s="550">
        <f>AE13</f>
        <v>2078</v>
      </c>
      <c r="J22" s="551">
        <f>SUM(B22:I22)</f>
        <v>14992</v>
      </c>
    </row>
    <row r="23" spans="1:38" ht="18.75" customHeight="1" x14ac:dyDescent="0.15">
      <c r="A23" s="969"/>
      <c r="B23" s="552">
        <f>SUM(B5,B7,B9,B11,B13,B15,B17,B19,B21)</f>
        <v>1</v>
      </c>
      <c r="C23" s="552">
        <f t="shared" ref="C23:J23" si="10">SUM(C5,C7,C9,C11,C13,C15,C17,C19,C21)</f>
        <v>1</v>
      </c>
      <c r="D23" s="552">
        <f t="shared" si="10"/>
        <v>1</v>
      </c>
      <c r="E23" s="552">
        <f t="shared" si="10"/>
        <v>1</v>
      </c>
      <c r="F23" s="552">
        <f t="shared" si="10"/>
        <v>0.99999999999999989</v>
      </c>
      <c r="G23" s="552">
        <f t="shared" si="10"/>
        <v>1</v>
      </c>
      <c r="H23" s="552">
        <f t="shared" si="10"/>
        <v>0.99999999999999989</v>
      </c>
      <c r="I23" s="552">
        <f t="shared" si="10"/>
        <v>1</v>
      </c>
      <c r="J23" s="552">
        <f t="shared" si="10"/>
        <v>1</v>
      </c>
    </row>
    <row r="24" spans="1:38" ht="18.75" customHeight="1" x14ac:dyDescent="0.15">
      <c r="A24" s="968" t="s">
        <v>90</v>
      </c>
      <c r="B24" s="547">
        <f>HLOOKUP($AJ$3,'6-Ⅰ①'!$M$3:$AE$16,13,FALSE)+HLOOKUP($AJ$4,'6-Ⅰ①'!$M$3:$AE$16,13,FALSE)+HLOOKUP($AJ$5,'6-Ⅰ①'!$M$3:$AE$16,13,FALSE)</f>
        <v>689</v>
      </c>
      <c r="C24" s="547">
        <f>HLOOKUP($AJ$6,'6-Ⅰ①'!$M$3:$AE$16,13,FALSE)+HLOOKUP($AJ$7,'6-Ⅰ①'!$M$3:$AE$16,13,FALSE)</f>
        <v>703</v>
      </c>
      <c r="D24" s="547">
        <f>HLOOKUP($AJ$8,'6-Ⅰ①'!$M$3:$AE$16,13,FALSE)+HLOOKUP($AJ$9,'6-Ⅰ①'!$M$3:$AE$16,13,FALSE)+HLOOKUP($AJ$10,'6-Ⅰ①'!$M$3:$AE$16,13,FALSE)+HLOOKUP($AJ$11,'6-Ⅰ①'!$M$3:$AE$16,13,FALSE)</f>
        <v>645</v>
      </c>
      <c r="E24" s="547">
        <f>HLOOKUP($AJ$12,'6-Ⅰ①'!$M$3:$AE$16,13,FALSE)+HLOOKUP($AJ$13,'6-Ⅰ①'!$M$3:$AE$16,13,FALSE)+HLOOKUP($AJ$14,'6-Ⅰ①'!$M$3:$AE$16,13,FALSE)</f>
        <v>601</v>
      </c>
      <c r="F24" s="547">
        <f>HLOOKUP($AJ$15,'6-Ⅰ①'!$M$3:$AE$16,13,FALSE)+HLOOKUP($AJ$16,'6-Ⅰ①'!$M$3:$AE$16,13,FALSE)</f>
        <v>526</v>
      </c>
      <c r="G24" s="547">
        <f>HLOOKUP($AJ$17,'6-Ⅰ①'!$M$3:$AE$16,13,FALSE)+HLOOKUP($AJ$18,'6-Ⅰ①'!$M$3:$AE$16,13,FALSE)+HLOOKUP($AJ$19,'6-Ⅰ①'!$M$3:$AE$16,13,FALSE)</f>
        <v>1705</v>
      </c>
      <c r="H24" s="547">
        <f>HLOOKUP($AJ$20,'6-Ⅰ①'!$M$3:$AE$16,13,FALSE)</f>
        <v>123</v>
      </c>
      <c r="I24" s="547">
        <f>HLOOKUP($AJ$21,'6-Ⅰ①'!$M$3:$AE$16,13,FALSE)</f>
        <v>943</v>
      </c>
      <c r="J24" s="547">
        <f>SUM(B24:I24)</f>
        <v>5935</v>
      </c>
    </row>
    <row r="25" spans="1:38" ht="18.75" customHeight="1" x14ac:dyDescent="0.15">
      <c r="A25" s="969"/>
      <c r="B25" s="553">
        <f>B24/B$22</f>
        <v>0.40914489311163893</v>
      </c>
      <c r="C25" s="553">
        <f t="shared" ref="C25:J25" si="11">C24/C$22</f>
        <v>0.35185185185185186</v>
      </c>
      <c r="D25" s="553">
        <f t="shared" si="11"/>
        <v>0.48170276325616129</v>
      </c>
      <c r="E25" s="553">
        <f t="shared" si="11"/>
        <v>0.47174254317111458</v>
      </c>
      <c r="F25" s="553">
        <f t="shared" si="11"/>
        <v>0.42868785656071717</v>
      </c>
      <c r="G25" s="553">
        <f t="shared" si="11"/>
        <v>0.32594150258076848</v>
      </c>
      <c r="H25" s="553">
        <f t="shared" si="11"/>
        <v>0.7639751552795031</v>
      </c>
      <c r="I25" s="553">
        <f t="shared" si="11"/>
        <v>0.45380173243503369</v>
      </c>
      <c r="J25" s="553">
        <f t="shared" si="11"/>
        <v>0.39587780149413021</v>
      </c>
    </row>
    <row r="26" spans="1:38" ht="18.75" customHeight="1" x14ac:dyDescent="0.15">
      <c r="A26" s="968" t="s">
        <v>91</v>
      </c>
      <c r="B26" s="546">
        <f>HLOOKUP($AJ$3,'6-Ⅰ①'!$M$3:$AE$16,14,FALSE)+HLOOKUP($AJ$4,'6-Ⅰ①'!$M$3:$AE$16,14,FALSE)+HLOOKUP($AJ$5,'6-Ⅰ①'!$M$3:$AE$16,14,FALSE)</f>
        <v>995</v>
      </c>
      <c r="C26" s="546">
        <f>HLOOKUP($AJ$6,'6-Ⅰ①'!$M$3:$AE$16,14,FALSE)+HLOOKUP($AJ$7,'6-Ⅰ①'!$M$3:$AE$16,14,FALSE)</f>
        <v>1295</v>
      </c>
      <c r="D26" s="546">
        <f>HLOOKUP($AJ$8,'6-Ⅰ①'!$M$3:$AE$16,14,FALSE)+HLOOKUP($AJ$9,'6-Ⅰ①'!$M$3:$AE$16,14,FALSE)+HLOOKUP($AJ$10,'6-Ⅰ①'!$M$3:$AE$16,14,FALSE)+HLOOKUP($AJ$11,'6-Ⅰ①'!$M$3:$AE$16,14,FALSE)</f>
        <v>694</v>
      </c>
      <c r="E26" s="546">
        <f>HLOOKUP($AJ$12,'6-Ⅰ①'!$M$3:$AE$16,14,FALSE)+HLOOKUP($AJ$13,'6-Ⅰ①'!$M$3:$AE$16,14,FALSE)+HLOOKUP($AJ$14,'6-Ⅰ①'!$M$3:$AE$16,14,FALSE)</f>
        <v>673</v>
      </c>
      <c r="F26" s="546">
        <f>HLOOKUP($AJ$15,'6-Ⅰ①'!$M$3:$AE$16,14,FALSE)+HLOOKUP($AJ$16,'6-Ⅰ①'!$M$3:$AE$16,14,FALSE)</f>
        <v>701</v>
      </c>
      <c r="G26" s="546">
        <f>HLOOKUP($AJ$17,'6-Ⅰ①'!$M$3:$AE$16,14,FALSE)+HLOOKUP($AJ$18,'6-Ⅰ①'!$M$3:$AE$16,14,FALSE)+HLOOKUP($AJ$19,'6-Ⅰ①'!$M$3:$AE$16,14,FALSE)</f>
        <v>3526</v>
      </c>
      <c r="H26" s="546">
        <f>HLOOKUP($AJ$20,'6-Ⅰ①'!$M$3:$AE$16,14,FALSE)</f>
        <v>38</v>
      </c>
      <c r="I26" s="546">
        <f>HLOOKUP($AJ$21,'6-Ⅰ①'!$M$3:$AE$16,14,FALSE)</f>
        <v>1135</v>
      </c>
      <c r="J26" s="547">
        <f>SUM(B26:I26)</f>
        <v>9057</v>
      </c>
    </row>
    <row r="27" spans="1:38" ht="18.75" customHeight="1" x14ac:dyDescent="0.15">
      <c r="A27" s="969"/>
      <c r="B27" s="553">
        <f>B26/B$22</f>
        <v>0.59085510688836107</v>
      </c>
      <c r="C27" s="553">
        <f t="shared" ref="C27:J27" si="12">C26/C$22</f>
        <v>0.64814814814814814</v>
      </c>
      <c r="D27" s="553">
        <f t="shared" si="12"/>
        <v>0.51829723674383865</v>
      </c>
      <c r="E27" s="553">
        <f t="shared" si="12"/>
        <v>0.52825745682888536</v>
      </c>
      <c r="F27" s="553">
        <f t="shared" si="12"/>
        <v>0.57131214343928283</v>
      </c>
      <c r="G27" s="553">
        <f t="shared" si="12"/>
        <v>0.67405849741923152</v>
      </c>
      <c r="H27" s="553">
        <f t="shared" si="12"/>
        <v>0.2360248447204969</v>
      </c>
      <c r="I27" s="553">
        <f t="shared" si="12"/>
        <v>0.54619826756496637</v>
      </c>
      <c r="J27" s="553">
        <f t="shared" si="12"/>
        <v>0.60412219850586979</v>
      </c>
    </row>
    <row r="29" spans="1:38" hidden="1" x14ac:dyDescent="0.15">
      <c r="A29" s="53"/>
    </row>
    <row r="30" spans="1:38" hidden="1" x14ac:dyDescent="0.15"/>
    <row r="31" spans="1:38" hidden="1" x14ac:dyDescent="0.15">
      <c r="A31" s="373"/>
      <c r="B31" s="373"/>
      <c r="C31" s="373"/>
      <c r="D31" s="373"/>
      <c r="E31" s="373"/>
      <c r="F31" s="373"/>
      <c r="G31" s="373"/>
      <c r="H31" s="373"/>
      <c r="I31" s="373"/>
      <c r="J31" s="373"/>
      <c r="K31" s="373"/>
      <c r="L31" s="373"/>
      <c r="M31" s="373"/>
      <c r="N31" s="373"/>
      <c r="O31" s="373"/>
      <c r="P31" s="373"/>
      <c r="Q31" s="373"/>
      <c r="R31" s="373"/>
      <c r="S31" s="373"/>
    </row>
    <row r="32" spans="1:38" hidden="1" x14ac:dyDescent="0.15">
      <c r="A32" s="33"/>
      <c r="B32" s="38"/>
      <c r="C32" s="38"/>
      <c r="D32" s="38"/>
      <c r="E32" s="38"/>
      <c r="F32" s="38"/>
      <c r="G32" s="38"/>
      <c r="H32" s="38"/>
      <c r="I32" s="38"/>
      <c r="J32" s="38"/>
      <c r="K32" s="38"/>
      <c r="L32" s="38"/>
      <c r="M32" s="38"/>
      <c r="N32" s="38"/>
      <c r="O32" s="38"/>
      <c r="P32" s="38"/>
      <c r="Q32" s="38"/>
      <c r="R32" s="38"/>
      <c r="S32" s="38"/>
    </row>
    <row r="33" spans="1:19" hidden="1" x14ac:dyDescent="0.15">
      <c r="A33" s="33"/>
      <c r="B33" s="38"/>
      <c r="C33" s="38"/>
      <c r="D33" s="38"/>
      <c r="E33" s="38"/>
      <c r="F33" s="38"/>
      <c r="G33" s="38"/>
      <c r="H33" s="38"/>
      <c r="I33" s="38"/>
      <c r="J33" s="38"/>
      <c r="K33" s="38"/>
      <c r="L33" s="38"/>
      <c r="M33" s="38"/>
      <c r="N33" s="38"/>
      <c r="O33" s="38"/>
      <c r="P33" s="38"/>
      <c r="Q33" s="38"/>
      <c r="R33" s="38"/>
      <c r="S33" s="38"/>
    </row>
    <row r="34" spans="1:19" hidden="1" x14ac:dyDescent="0.15">
      <c r="A34" s="33"/>
      <c r="B34" s="38"/>
      <c r="C34" s="38"/>
      <c r="D34" s="38"/>
      <c r="E34" s="38"/>
      <c r="F34" s="38"/>
      <c r="G34" s="38"/>
      <c r="H34" s="38"/>
      <c r="I34" s="38"/>
      <c r="J34" s="38"/>
      <c r="K34" s="38"/>
      <c r="L34" s="38"/>
      <c r="M34" s="38"/>
      <c r="N34" s="38"/>
      <c r="O34" s="38"/>
      <c r="P34" s="38"/>
      <c r="Q34" s="38"/>
      <c r="R34" s="38"/>
      <c r="S34" s="38"/>
    </row>
    <row r="35" spans="1:19" hidden="1" x14ac:dyDescent="0.15">
      <c r="A35" s="33"/>
      <c r="B35" s="38"/>
      <c r="C35" s="38"/>
      <c r="D35" s="38"/>
      <c r="E35" s="38"/>
      <c r="F35" s="38"/>
      <c r="G35" s="38"/>
      <c r="H35" s="38"/>
      <c r="I35" s="38"/>
      <c r="J35" s="38"/>
      <c r="K35" s="38"/>
      <c r="L35" s="38"/>
      <c r="M35" s="38"/>
      <c r="N35" s="38"/>
      <c r="O35" s="38"/>
      <c r="P35" s="38"/>
      <c r="Q35" s="38"/>
      <c r="R35" s="38"/>
      <c r="S35" s="38"/>
    </row>
    <row r="36" spans="1:19" hidden="1" x14ac:dyDescent="0.15">
      <c r="A36" s="33"/>
      <c r="B36" s="38"/>
      <c r="C36" s="38"/>
      <c r="D36" s="38"/>
      <c r="E36" s="38"/>
      <c r="F36" s="38"/>
      <c r="G36" s="38"/>
      <c r="H36" s="38"/>
      <c r="I36" s="38"/>
      <c r="J36" s="38"/>
      <c r="K36" s="38"/>
      <c r="L36" s="38"/>
      <c r="M36" s="38"/>
      <c r="N36" s="38"/>
      <c r="O36" s="38"/>
      <c r="P36" s="38"/>
      <c r="Q36" s="38"/>
      <c r="R36" s="38"/>
      <c r="S36" s="38"/>
    </row>
    <row r="37" spans="1:19" hidden="1" x14ac:dyDescent="0.15">
      <c r="A37" s="33"/>
      <c r="B37" s="38"/>
      <c r="C37" s="38"/>
      <c r="D37" s="38"/>
      <c r="E37" s="38"/>
      <c r="F37" s="38"/>
      <c r="G37" s="38"/>
      <c r="H37" s="38"/>
      <c r="I37" s="38"/>
      <c r="J37" s="38"/>
      <c r="K37" s="38"/>
      <c r="L37" s="38"/>
      <c r="M37" s="38"/>
      <c r="N37" s="38"/>
      <c r="O37" s="38"/>
      <c r="P37" s="38"/>
      <c r="Q37" s="38"/>
      <c r="R37" s="38"/>
      <c r="S37" s="38"/>
    </row>
    <row r="38" spans="1:19" hidden="1" x14ac:dyDescent="0.15">
      <c r="A38" s="33"/>
      <c r="B38" s="38"/>
      <c r="C38" s="38"/>
      <c r="D38" s="38"/>
      <c r="E38" s="38"/>
      <c r="F38" s="38"/>
      <c r="G38" s="38"/>
      <c r="H38" s="38"/>
      <c r="I38" s="38"/>
      <c r="J38" s="38"/>
      <c r="K38" s="38"/>
      <c r="L38" s="38"/>
      <c r="M38" s="38"/>
      <c r="N38" s="38"/>
      <c r="O38" s="38"/>
      <c r="P38" s="38"/>
      <c r="Q38" s="38"/>
      <c r="R38" s="38"/>
      <c r="S38" s="38"/>
    </row>
    <row r="39" spans="1:19" hidden="1" x14ac:dyDescent="0.15">
      <c r="A39" s="33"/>
      <c r="B39" s="38"/>
      <c r="C39" s="38"/>
      <c r="D39" s="38"/>
      <c r="E39" s="38"/>
      <c r="F39" s="38"/>
      <c r="G39" s="38"/>
      <c r="H39" s="38"/>
      <c r="I39" s="38"/>
      <c r="J39" s="38"/>
      <c r="K39" s="38"/>
      <c r="L39" s="38"/>
      <c r="M39" s="38"/>
      <c r="N39" s="38"/>
      <c r="O39" s="38"/>
      <c r="P39" s="38"/>
      <c r="Q39" s="38"/>
      <c r="R39" s="38"/>
      <c r="S39" s="38"/>
    </row>
    <row r="40" spans="1:19" hidden="1" x14ac:dyDescent="0.15">
      <c r="A40" s="33"/>
      <c r="B40" s="38"/>
      <c r="C40" s="38"/>
      <c r="D40" s="38"/>
      <c r="E40" s="38"/>
      <c r="F40" s="38"/>
      <c r="G40" s="38"/>
      <c r="H40" s="38"/>
      <c r="I40" s="38"/>
      <c r="J40" s="38"/>
      <c r="K40" s="38"/>
      <c r="L40" s="38"/>
      <c r="M40" s="38"/>
      <c r="N40" s="38"/>
      <c r="O40" s="38"/>
      <c r="P40" s="38"/>
      <c r="Q40" s="38"/>
      <c r="R40" s="38"/>
      <c r="S40" s="38"/>
    </row>
    <row r="41" spans="1:19" hidden="1" x14ac:dyDescent="0.15">
      <c r="A41" s="373"/>
      <c r="B41" s="373"/>
      <c r="C41" s="373"/>
      <c r="D41" s="373"/>
      <c r="E41" s="373"/>
      <c r="F41" s="373"/>
      <c r="G41" s="373"/>
      <c r="H41" s="373"/>
      <c r="I41" s="373"/>
      <c r="J41" s="373"/>
      <c r="K41" s="373"/>
      <c r="L41" s="373"/>
      <c r="M41" s="373"/>
      <c r="N41" s="373"/>
      <c r="O41" s="373"/>
      <c r="P41" s="373"/>
      <c r="Q41" s="373"/>
      <c r="R41" s="373"/>
      <c r="S41" s="373"/>
    </row>
    <row r="42" spans="1:19" hidden="1" x14ac:dyDescent="0.15">
      <c r="A42" s="33"/>
      <c r="B42" s="38"/>
      <c r="C42" s="38"/>
      <c r="D42" s="38"/>
      <c r="E42" s="38"/>
      <c r="F42" s="38"/>
      <c r="G42" s="38"/>
      <c r="H42" s="38"/>
      <c r="I42" s="38"/>
      <c r="J42" s="38"/>
      <c r="K42" s="38"/>
      <c r="L42" s="38"/>
      <c r="M42" s="38"/>
      <c r="N42" s="38"/>
      <c r="O42" s="38"/>
      <c r="P42" s="38"/>
      <c r="Q42" s="38"/>
      <c r="R42" s="38"/>
      <c r="S42" s="38"/>
    </row>
    <row r="43" spans="1:19" hidden="1" x14ac:dyDescent="0.15"/>
  </sheetData>
  <mergeCells count="12">
    <mergeCell ref="A26:A27"/>
    <mergeCell ref="A4:A5"/>
    <mergeCell ref="A6:A7"/>
    <mergeCell ref="A8:A9"/>
    <mergeCell ref="A10:A11"/>
    <mergeCell ref="A12:A13"/>
    <mergeCell ref="A14:A15"/>
    <mergeCell ref="A16:A17"/>
    <mergeCell ref="A18:A19"/>
    <mergeCell ref="A20:A21"/>
    <mergeCell ref="A22:A23"/>
    <mergeCell ref="A24:A25"/>
  </mergeCells>
  <phoneticPr fontId="2"/>
  <printOptions horizontalCentered="1"/>
  <pageMargins left="0.70866141732283472" right="0.70866141732283472" top="0.74803149606299213" bottom="0.74803149606299213"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Button 1">
              <controlPr defaultSize="0" print="0" autoFill="0" autoPict="0" macro="[0]!データ削除_年齢区分病院圏域">
                <anchor moveWithCells="1" sizeWithCells="1">
                  <from>
                    <xdr:col>33</xdr:col>
                    <xdr:colOff>304800</xdr:colOff>
                    <xdr:row>2</xdr:row>
                    <xdr:rowOff>85725</xdr:rowOff>
                  </from>
                  <to>
                    <xdr:col>34</xdr:col>
                    <xdr:colOff>723900</xdr:colOff>
                    <xdr:row>4</xdr:row>
                    <xdr:rowOff>200025</xdr:rowOff>
                  </to>
                </anchor>
              </controlPr>
            </control>
          </mc:Choice>
        </mc:AlternateContent>
      </controls>
    </mc:Choice>
  </mc:AlternateContent>
  <tableParts count="2">
    <tablePart r:id="rId5"/>
    <tablePart r:id="rId6"/>
  </tablePart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9" tint="-0.499984740745262"/>
    <pageSetUpPr fitToPage="1"/>
  </sheetPr>
  <dimension ref="A1:AY22"/>
  <sheetViews>
    <sheetView showGridLines="0" view="pageBreakPreview" topLeftCell="C1" zoomScale="90" zoomScaleNormal="70" zoomScaleSheetLayoutView="90" workbookViewId="0">
      <selection activeCell="M1" sqref="M1:AG1048576"/>
    </sheetView>
  </sheetViews>
  <sheetFormatPr defaultColWidth="13.75" defaultRowHeight="18.75" x14ac:dyDescent="0.15"/>
  <cols>
    <col min="1" max="1" width="15.625" style="537" customWidth="1"/>
    <col min="2" max="10" width="8.75" style="537" customWidth="1"/>
    <col min="11" max="11" width="7.625" style="537" customWidth="1"/>
    <col min="12" max="12" width="5.375" style="537" customWidth="1"/>
    <col min="13" max="32" width="9.25" style="537" hidden="1" customWidth="1"/>
    <col min="33" max="33" width="8.375" style="537" hidden="1" customWidth="1"/>
    <col min="34" max="50" width="8.375" style="537" customWidth="1"/>
    <col min="51" max="51" width="7" style="537" customWidth="1"/>
    <col min="52" max="16384" width="13.75" style="537"/>
  </cols>
  <sheetData>
    <row r="1" spans="1:51" s="3" customFormat="1" ht="19.5" x14ac:dyDescent="0.15">
      <c r="A1" s="2" t="s">
        <v>405</v>
      </c>
    </row>
    <row r="2" spans="1:51" ht="19.5" thickBot="1" x14ac:dyDescent="0.2">
      <c r="A2" s="4"/>
    </row>
    <row r="3" spans="1:51" ht="18.75" customHeight="1" thickTop="1" thickBot="1" x14ac:dyDescent="0.2">
      <c r="A3" s="545"/>
      <c r="B3" s="545" t="s">
        <v>387</v>
      </c>
      <c r="C3" s="545" t="s">
        <v>388</v>
      </c>
      <c r="D3" s="545" t="s">
        <v>389</v>
      </c>
      <c r="E3" s="545" t="s">
        <v>390</v>
      </c>
      <c r="F3" s="545" t="s">
        <v>391</v>
      </c>
      <c r="G3" s="545" t="s">
        <v>392</v>
      </c>
      <c r="H3" s="545" t="s">
        <v>393</v>
      </c>
      <c r="I3" s="545" t="s">
        <v>394</v>
      </c>
      <c r="J3" s="545" t="s">
        <v>62</v>
      </c>
      <c r="L3" s="548"/>
      <c r="M3" s="700" t="s">
        <v>373</v>
      </c>
      <c r="N3" s="635" t="s">
        <v>395</v>
      </c>
      <c r="O3" s="635" t="s">
        <v>396</v>
      </c>
      <c r="P3" s="635" t="s">
        <v>397</v>
      </c>
      <c r="Q3" s="635" t="s">
        <v>398</v>
      </c>
      <c r="R3" s="635" t="s">
        <v>399</v>
      </c>
      <c r="S3" s="635" t="s">
        <v>400</v>
      </c>
      <c r="T3" s="635" t="s">
        <v>401</v>
      </c>
      <c r="U3" s="635" t="s">
        <v>402</v>
      </c>
      <c r="V3" s="635" t="s">
        <v>403</v>
      </c>
      <c r="W3" s="635" t="s">
        <v>404</v>
      </c>
      <c r="X3" s="635" t="s">
        <v>565</v>
      </c>
      <c r="Y3" s="635" t="s">
        <v>566</v>
      </c>
      <c r="Z3" s="635" t="s">
        <v>567</v>
      </c>
      <c r="AA3" s="635" t="s">
        <v>568</v>
      </c>
      <c r="AB3" s="635" t="s">
        <v>569</v>
      </c>
      <c r="AC3" s="635" t="s">
        <v>570</v>
      </c>
      <c r="AD3" s="635" t="s">
        <v>571</v>
      </c>
      <c r="AE3" s="635" t="s">
        <v>572</v>
      </c>
      <c r="AF3" s="635" t="s">
        <v>573</v>
      </c>
      <c r="AG3" s="619"/>
      <c r="AH3" s="619"/>
      <c r="AI3" s="619"/>
      <c r="AJ3" s="619"/>
      <c r="AK3" s="619"/>
      <c r="AL3" s="619"/>
      <c r="AM3" s="619"/>
      <c r="AN3" s="619"/>
      <c r="AO3" s="619"/>
      <c r="AP3" s="619"/>
      <c r="AQ3" s="619"/>
      <c r="AR3" s="619"/>
      <c r="AS3" s="619"/>
      <c r="AT3" s="619"/>
      <c r="AU3" s="619"/>
      <c r="AV3" s="619"/>
      <c r="AW3" s="619"/>
      <c r="AX3" s="619"/>
      <c r="AY3" s="562"/>
    </row>
    <row r="4" spans="1:51" ht="18.75" customHeight="1" thickTop="1" x14ac:dyDescent="0.15">
      <c r="A4" s="554" t="s">
        <v>406</v>
      </c>
      <c r="B4" s="546">
        <f>SUM(N4:P5)</f>
        <v>8</v>
      </c>
      <c r="C4" s="546">
        <f>SUM(Q4:R5)</f>
        <v>2</v>
      </c>
      <c r="D4" s="546">
        <f>SUM(S4:V5)</f>
        <v>14</v>
      </c>
      <c r="E4" s="546">
        <f>SUM(W4:Y5)</f>
        <v>18</v>
      </c>
      <c r="F4" s="546">
        <f>SUM(Z4:AA5)</f>
        <v>3</v>
      </c>
      <c r="G4" s="546">
        <f>SUM(AB4:AD5)</f>
        <v>13</v>
      </c>
      <c r="H4" s="546">
        <f>SUM(AE4:AE5)</f>
        <v>6</v>
      </c>
      <c r="I4" s="546">
        <f>SUM(AF4:AF5)</f>
        <v>29</v>
      </c>
      <c r="J4" s="547">
        <f>SUM(B4:I4)</f>
        <v>93</v>
      </c>
      <c r="L4" s="555"/>
      <c r="M4" s="699" t="s">
        <v>613</v>
      </c>
      <c r="N4" s="657">
        <v>1</v>
      </c>
      <c r="O4" s="657">
        <v>7</v>
      </c>
      <c r="P4" s="657"/>
      <c r="Q4" s="657">
        <v>2</v>
      </c>
      <c r="R4" s="657"/>
      <c r="S4" s="657">
        <v>12</v>
      </c>
      <c r="T4" s="657">
        <v>2</v>
      </c>
      <c r="U4" s="657"/>
      <c r="V4" s="657"/>
      <c r="W4" s="657"/>
      <c r="X4" s="657">
        <v>3</v>
      </c>
      <c r="Y4" s="657">
        <v>15</v>
      </c>
      <c r="Z4" s="657">
        <v>1</v>
      </c>
      <c r="AA4" s="657">
        <v>2</v>
      </c>
      <c r="AB4" s="657">
        <v>4</v>
      </c>
      <c r="AC4" s="657">
        <v>9</v>
      </c>
      <c r="AD4" s="657"/>
      <c r="AE4" s="657">
        <v>6</v>
      </c>
      <c r="AF4" s="657">
        <v>28</v>
      </c>
      <c r="AG4" s="535"/>
    </row>
    <row r="5" spans="1:51" ht="18.75" customHeight="1" x14ac:dyDescent="0.15">
      <c r="A5" s="556" t="s">
        <v>374</v>
      </c>
      <c r="B5" s="549">
        <f>B4/B$14</f>
        <v>4.7505938242280287E-3</v>
      </c>
      <c r="C5" s="549">
        <f t="shared" ref="C5:J5" si="0">C4/C$14</f>
        <v>1.001001001001001E-3</v>
      </c>
      <c r="D5" s="549">
        <f t="shared" si="0"/>
        <v>1.0455563853622106E-2</v>
      </c>
      <c r="E5" s="549">
        <f t="shared" si="0"/>
        <v>1.4128728414442701E-2</v>
      </c>
      <c r="F5" s="549">
        <f t="shared" si="0"/>
        <v>2.4449877750611247E-3</v>
      </c>
      <c r="G5" s="549">
        <f t="shared" si="0"/>
        <v>2.4851844771554194E-3</v>
      </c>
      <c r="H5" s="549">
        <f t="shared" si="0"/>
        <v>3.7267080745341616E-2</v>
      </c>
      <c r="I5" s="549">
        <f t="shared" si="0"/>
        <v>1.395572666025024E-2</v>
      </c>
      <c r="J5" s="549">
        <f t="shared" si="0"/>
        <v>6.2033084311632868E-3</v>
      </c>
      <c r="L5" s="555"/>
      <c r="M5" s="657" t="s">
        <v>374</v>
      </c>
      <c r="N5" s="657"/>
      <c r="O5" s="657"/>
      <c r="P5" s="657"/>
      <c r="Q5" s="657"/>
      <c r="R5" s="657"/>
      <c r="S5" s="657"/>
      <c r="T5" s="657"/>
      <c r="U5" s="657"/>
      <c r="V5" s="657"/>
      <c r="W5" s="657"/>
      <c r="X5" s="657"/>
      <c r="Y5" s="657"/>
      <c r="Z5" s="657"/>
      <c r="AA5" s="657"/>
      <c r="AB5" s="657"/>
      <c r="AC5" s="657"/>
      <c r="AD5" s="657"/>
      <c r="AE5" s="657"/>
      <c r="AF5" s="657">
        <v>1</v>
      </c>
      <c r="AG5" s="535"/>
    </row>
    <row r="6" spans="1:51" ht="18.75" customHeight="1" x14ac:dyDescent="0.15">
      <c r="A6" s="968" t="s">
        <v>15</v>
      </c>
      <c r="B6" s="546">
        <f>SUM(入院形態病院圏域[[#This Row],[01豊能北]:[03豊能吹田]])</f>
        <v>903</v>
      </c>
      <c r="C6" s="546">
        <f>SUM(入院形態病院圏域[[#This Row],[04三島]:[05三島高槻]])</f>
        <v>1424</v>
      </c>
      <c r="D6" s="546">
        <f>SUM(入院形態病院圏域[[#This Row],[06北河内枚方]:[09北河内東]])</f>
        <v>767</v>
      </c>
      <c r="E6" s="546">
        <f>SUM(入院形態病院圏域[[#This Row],[10中河内東大阪]:[12中河内南]])</f>
        <v>732</v>
      </c>
      <c r="F6" s="546">
        <f>SUM(入院形態病院圏域[[#This Row],[13南河内北]:[14南河内南]])</f>
        <v>608</v>
      </c>
      <c r="G6" s="546">
        <f>SUM(入院形態病院圏域[[#This Row],[15泉州北]:[17泉州南]])</f>
        <v>2566</v>
      </c>
      <c r="H6" s="546">
        <f>入院形態病院圏域[[#This Row],[18大阪市]]</f>
        <v>88</v>
      </c>
      <c r="I6" s="546">
        <f>入院形態病院圏域[[#This Row],[19堺市]]</f>
        <v>1340</v>
      </c>
      <c r="J6" s="547">
        <f>SUM(B6:I6)</f>
        <v>8428</v>
      </c>
      <c r="L6" s="555"/>
      <c r="M6" s="657" t="s">
        <v>15</v>
      </c>
      <c r="N6" s="657">
        <v>333</v>
      </c>
      <c r="O6" s="657">
        <v>438</v>
      </c>
      <c r="P6" s="657">
        <v>132</v>
      </c>
      <c r="Q6" s="657">
        <v>1090</v>
      </c>
      <c r="R6" s="657">
        <v>334</v>
      </c>
      <c r="S6" s="657">
        <v>407</v>
      </c>
      <c r="T6" s="657">
        <v>173</v>
      </c>
      <c r="U6" s="657">
        <v>120</v>
      </c>
      <c r="V6" s="657">
        <v>67</v>
      </c>
      <c r="W6" s="657">
        <v>435</v>
      </c>
      <c r="X6" s="657">
        <v>174</v>
      </c>
      <c r="Y6" s="657">
        <v>123</v>
      </c>
      <c r="Z6" s="657">
        <v>141</v>
      </c>
      <c r="AA6" s="657">
        <v>467</v>
      </c>
      <c r="AB6" s="657">
        <v>671</v>
      </c>
      <c r="AC6" s="657">
        <v>1020</v>
      </c>
      <c r="AD6" s="657">
        <v>875</v>
      </c>
      <c r="AE6" s="657">
        <v>88</v>
      </c>
      <c r="AF6" s="657">
        <v>1340</v>
      </c>
      <c r="AG6" s="535"/>
    </row>
    <row r="7" spans="1:51" ht="18.75" customHeight="1" x14ac:dyDescent="0.15">
      <c r="A7" s="969"/>
      <c r="B7" s="549">
        <f>B6/B$14</f>
        <v>0.53622327790973867</v>
      </c>
      <c r="C7" s="549">
        <f t="shared" ref="C7:J7" si="1">C6/C$14</f>
        <v>0.71271271271271275</v>
      </c>
      <c r="D7" s="549">
        <f t="shared" si="1"/>
        <v>0.57281553398058249</v>
      </c>
      <c r="E7" s="549">
        <f t="shared" si="1"/>
        <v>0.57456828885400313</v>
      </c>
      <c r="F7" s="549">
        <f t="shared" si="1"/>
        <v>0.49551752241238795</v>
      </c>
      <c r="G7" s="549">
        <f t="shared" si="1"/>
        <v>0.49053718218313896</v>
      </c>
      <c r="H7" s="549">
        <f t="shared" si="1"/>
        <v>0.54658385093167705</v>
      </c>
      <c r="I7" s="549">
        <f t="shared" si="1"/>
        <v>0.64485081809432143</v>
      </c>
      <c r="J7" s="549">
        <f t="shared" si="1"/>
        <v>0.56216648879402353</v>
      </c>
      <c r="L7" s="555"/>
      <c r="M7" s="657" t="s">
        <v>16</v>
      </c>
      <c r="N7" s="657">
        <v>196</v>
      </c>
      <c r="O7" s="657">
        <v>404</v>
      </c>
      <c r="P7" s="657">
        <v>172</v>
      </c>
      <c r="Q7" s="657">
        <v>258</v>
      </c>
      <c r="R7" s="657">
        <v>313</v>
      </c>
      <c r="S7" s="657">
        <v>250</v>
      </c>
      <c r="T7" s="657">
        <v>52</v>
      </c>
      <c r="U7" s="657">
        <v>97</v>
      </c>
      <c r="V7" s="657">
        <v>122</v>
      </c>
      <c r="W7" s="657">
        <v>300</v>
      </c>
      <c r="X7" s="657">
        <v>181</v>
      </c>
      <c r="Y7" s="657">
        <v>41</v>
      </c>
      <c r="Z7" s="657">
        <v>319</v>
      </c>
      <c r="AA7" s="657">
        <v>296</v>
      </c>
      <c r="AB7" s="657">
        <v>970</v>
      </c>
      <c r="AC7" s="657">
        <v>1306</v>
      </c>
      <c r="AD7" s="657">
        <v>375</v>
      </c>
      <c r="AE7" s="657">
        <v>67</v>
      </c>
      <c r="AF7" s="657">
        <v>709</v>
      </c>
      <c r="AG7" s="535"/>
    </row>
    <row r="8" spans="1:51" ht="18.75" customHeight="1" x14ac:dyDescent="0.15">
      <c r="A8" s="968" t="s">
        <v>16</v>
      </c>
      <c r="B8" s="546">
        <f>SUM(N7:P7)</f>
        <v>772</v>
      </c>
      <c r="C8" s="546">
        <f>SUM(Q7:R7)</f>
        <v>571</v>
      </c>
      <c r="D8" s="546">
        <f>SUM(S7:V7)</f>
        <v>521</v>
      </c>
      <c r="E8" s="546">
        <f>SUM(W7:Y7)</f>
        <v>522</v>
      </c>
      <c r="F8" s="546">
        <f>SUM(Z7:AA7)</f>
        <v>615</v>
      </c>
      <c r="G8" s="546">
        <f>SUM(AB7:AD7)</f>
        <v>2651</v>
      </c>
      <c r="H8" s="546">
        <f>AE7</f>
        <v>67</v>
      </c>
      <c r="I8" s="546">
        <f>AF7</f>
        <v>709</v>
      </c>
      <c r="J8" s="547">
        <f>SUM(B8:I8)</f>
        <v>6428</v>
      </c>
      <c r="L8" s="555"/>
      <c r="M8" s="657" t="s">
        <v>17</v>
      </c>
      <c r="N8" s="657"/>
      <c r="O8" s="657"/>
      <c r="P8" s="657"/>
      <c r="Q8" s="657"/>
      <c r="R8" s="657"/>
      <c r="S8" s="657"/>
      <c r="T8" s="657"/>
      <c r="U8" s="657"/>
      <c r="V8" s="657"/>
      <c r="W8" s="657"/>
      <c r="X8" s="657"/>
      <c r="Y8" s="657">
        <v>1</v>
      </c>
      <c r="Z8" s="657">
        <v>1</v>
      </c>
      <c r="AA8" s="657"/>
      <c r="AB8" s="657"/>
      <c r="AC8" s="657"/>
      <c r="AD8" s="657"/>
      <c r="AE8" s="657"/>
      <c r="AF8" s="657"/>
      <c r="AG8" s="535"/>
    </row>
    <row r="9" spans="1:51" ht="18.75" customHeight="1" x14ac:dyDescent="0.15">
      <c r="A9" s="969"/>
      <c r="B9" s="549">
        <f>B8/B$14</f>
        <v>0.45843230403800472</v>
      </c>
      <c r="C9" s="549">
        <f t="shared" ref="C9:J9" si="2">C8/C$14</f>
        <v>0.28578578578578578</v>
      </c>
      <c r="D9" s="549">
        <f t="shared" si="2"/>
        <v>0.38909634055265124</v>
      </c>
      <c r="E9" s="549">
        <f t="shared" si="2"/>
        <v>0.40973312401883832</v>
      </c>
      <c r="F9" s="549">
        <f t="shared" si="2"/>
        <v>0.5012224938875306</v>
      </c>
      <c r="G9" s="549">
        <f t="shared" si="2"/>
        <v>0.50678646530300131</v>
      </c>
      <c r="H9" s="549">
        <f t="shared" si="2"/>
        <v>0.41614906832298137</v>
      </c>
      <c r="I9" s="549">
        <f t="shared" si="2"/>
        <v>0.34119345524542832</v>
      </c>
      <c r="J9" s="549">
        <f t="shared" si="2"/>
        <v>0.42876200640341516</v>
      </c>
      <c r="L9" s="555"/>
      <c r="M9" s="657" t="s">
        <v>614</v>
      </c>
      <c r="N9" s="657"/>
      <c r="O9" s="657">
        <v>1</v>
      </c>
      <c r="P9" s="657"/>
      <c r="Q9" s="657"/>
      <c r="R9" s="657">
        <v>1</v>
      </c>
      <c r="S9" s="657"/>
      <c r="T9" s="657"/>
      <c r="U9" s="657">
        <v>2</v>
      </c>
      <c r="V9" s="657"/>
      <c r="W9" s="657"/>
      <c r="X9" s="657"/>
      <c r="Y9" s="657">
        <v>1</v>
      </c>
      <c r="Z9" s="657"/>
      <c r="AA9" s="657"/>
      <c r="AB9" s="657">
        <v>1</v>
      </c>
      <c r="AC9" s="657"/>
      <c r="AD9" s="657"/>
      <c r="AE9" s="657"/>
      <c r="AF9" s="657"/>
      <c r="AG9" s="535"/>
    </row>
    <row r="10" spans="1:51" ht="18.75" customHeight="1" x14ac:dyDescent="0.15">
      <c r="A10" s="968" t="s">
        <v>17</v>
      </c>
      <c r="B10" s="546">
        <f>SUM(N8:P8)</f>
        <v>0</v>
      </c>
      <c r="C10" s="546">
        <f>SUM(Q8:R8)</f>
        <v>0</v>
      </c>
      <c r="D10" s="546">
        <f>SUM(S8:V8)</f>
        <v>0</v>
      </c>
      <c r="E10" s="546">
        <f>SUM(W8:Y8)</f>
        <v>1</v>
      </c>
      <c r="F10" s="546">
        <f>SUM(Z8:AA8)</f>
        <v>1</v>
      </c>
      <c r="G10" s="546">
        <f>SUM(AB8:AD8)</f>
        <v>0</v>
      </c>
      <c r="H10" s="546">
        <f>AE8</f>
        <v>0</v>
      </c>
      <c r="I10" s="546">
        <f>AF8</f>
        <v>0</v>
      </c>
      <c r="J10" s="547">
        <f>SUM(B10:I10)</f>
        <v>2</v>
      </c>
      <c r="L10" s="555"/>
      <c r="M10" s="657" t="s">
        <v>615</v>
      </c>
      <c r="N10" s="657"/>
      <c r="O10" s="657"/>
      <c r="P10" s="657"/>
      <c r="Q10" s="657"/>
      <c r="R10" s="657"/>
      <c r="S10" s="657">
        <v>34</v>
      </c>
      <c r="T10" s="657"/>
      <c r="U10" s="657"/>
      <c r="V10" s="657"/>
      <c r="W10" s="657"/>
      <c r="X10" s="657"/>
      <c r="Y10" s="657"/>
      <c r="Z10" s="657"/>
      <c r="AA10" s="657"/>
      <c r="AB10" s="657"/>
      <c r="AC10" s="657"/>
      <c r="AD10" s="657"/>
      <c r="AE10" s="657"/>
      <c r="AF10" s="657"/>
      <c r="AG10" s="535"/>
    </row>
    <row r="11" spans="1:51" ht="18.75" customHeight="1" x14ac:dyDescent="0.15">
      <c r="A11" s="969"/>
      <c r="B11" s="549">
        <f>B10/B$14</f>
        <v>0</v>
      </c>
      <c r="C11" s="549">
        <f t="shared" ref="C11:J11" si="3">C10/C$14</f>
        <v>0</v>
      </c>
      <c r="D11" s="549">
        <f t="shared" si="3"/>
        <v>0</v>
      </c>
      <c r="E11" s="549">
        <f t="shared" si="3"/>
        <v>7.8492935635792783E-4</v>
      </c>
      <c r="F11" s="549">
        <f t="shared" si="3"/>
        <v>8.1499592502037486E-4</v>
      </c>
      <c r="G11" s="549">
        <f t="shared" si="3"/>
        <v>0</v>
      </c>
      <c r="H11" s="549">
        <f t="shared" si="3"/>
        <v>0</v>
      </c>
      <c r="I11" s="549">
        <f t="shared" si="3"/>
        <v>0</v>
      </c>
      <c r="J11" s="549">
        <f t="shared" si="3"/>
        <v>1.3340448239060833E-4</v>
      </c>
      <c r="L11" s="555"/>
      <c r="M11" s="657" t="s">
        <v>375</v>
      </c>
      <c r="N11" s="657"/>
      <c r="O11" s="657"/>
      <c r="P11" s="657"/>
      <c r="Q11" s="657"/>
      <c r="R11" s="657"/>
      <c r="S11" s="657">
        <v>1</v>
      </c>
      <c r="T11" s="657"/>
      <c r="U11" s="657"/>
      <c r="V11" s="657"/>
      <c r="W11" s="657"/>
      <c r="X11" s="657"/>
      <c r="Y11" s="657"/>
      <c r="Z11" s="657"/>
      <c r="AA11" s="657"/>
      <c r="AB11" s="657"/>
      <c r="AC11" s="657"/>
      <c r="AD11" s="657"/>
      <c r="AE11" s="657"/>
      <c r="AF11" s="657"/>
      <c r="AG11" s="535"/>
    </row>
    <row r="12" spans="1:51" ht="18.75" customHeight="1" x14ac:dyDescent="0.15">
      <c r="A12" s="968" t="s">
        <v>18</v>
      </c>
      <c r="B12" s="546">
        <f>SUM(N9:P11)</f>
        <v>1</v>
      </c>
      <c r="C12" s="546">
        <f>SUM(Q9:R11)</f>
        <v>1</v>
      </c>
      <c r="D12" s="546">
        <f>SUM(S9:V11)</f>
        <v>37</v>
      </c>
      <c r="E12" s="546">
        <f>SUM(W9:Y11)</f>
        <v>1</v>
      </c>
      <c r="F12" s="546">
        <f>SUM(Z9:AA11)</f>
        <v>0</v>
      </c>
      <c r="G12" s="546">
        <f>SUM(AB9:AD11)</f>
        <v>1</v>
      </c>
      <c r="H12" s="546">
        <f>SUM(AE9:AE11)</f>
        <v>0</v>
      </c>
      <c r="I12" s="546">
        <f>SUM(AF9:AF11)</f>
        <v>0</v>
      </c>
      <c r="J12" s="547">
        <f>SUM(B12:I12)</f>
        <v>41</v>
      </c>
      <c r="M12" s="136" t="s">
        <v>385</v>
      </c>
      <c r="N12" s="136"/>
      <c r="O12" s="136"/>
      <c r="P12" s="136"/>
      <c r="Q12" s="136"/>
      <c r="R12" s="136"/>
      <c r="S12" s="136"/>
      <c r="T12" s="136"/>
      <c r="U12" s="136"/>
      <c r="V12" s="136"/>
      <c r="W12" s="136"/>
      <c r="X12" s="136"/>
      <c r="Y12" s="136"/>
      <c r="Z12" s="136"/>
      <c r="AA12" s="136"/>
      <c r="AB12" s="136"/>
      <c r="AC12" s="136"/>
      <c r="AD12" s="136"/>
      <c r="AE12" s="136"/>
      <c r="AF12" s="136"/>
      <c r="AG12" s="535"/>
    </row>
    <row r="13" spans="1:51" ht="18.75" customHeight="1" x14ac:dyDescent="0.15">
      <c r="A13" s="969"/>
      <c r="B13" s="549">
        <f>B12/B$14</f>
        <v>5.9382422802850359E-4</v>
      </c>
      <c r="C13" s="549">
        <f t="shared" ref="C13:J13" si="4">C12/C$14</f>
        <v>5.005005005005005E-4</v>
      </c>
      <c r="D13" s="549">
        <f t="shared" si="4"/>
        <v>2.7632561613144136E-2</v>
      </c>
      <c r="E13" s="549">
        <f t="shared" si="4"/>
        <v>7.8492935635792783E-4</v>
      </c>
      <c r="F13" s="549">
        <f t="shared" si="4"/>
        <v>0</v>
      </c>
      <c r="G13" s="549">
        <f t="shared" si="4"/>
        <v>1.9116803670426305E-4</v>
      </c>
      <c r="H13" s="549">
        <f t="shared" si="4"/>
        <v>0</v>
      </c>
      <c r="I13" s="549">
        <f t="shared" si="4"/>
        <v>0</v>
      </c>
      <c r="J13" s="549">
        <f t="shared" si="4"/>
        <v>2.7347918890074708E-3</v>
      </c>
      <c r="M13" s="136"/>
      <c r="N13" s="136"/>
      <c r="O13" s="136"/>
      <c r="P13" s="136"/>
      <c r="Q13" s="136"/>
      <c r="R13" s="136"/>
      <c r="S13" s="136"/>
      <c r="T13" s="136"/>
      <c r="U13" s="136"/>
      <c r="V13" s="136"/>
      <c r="W13" s="136"/>
      <c r="X13" s="136"/>
      <c r="Y13" s="136"/>
      <c r="Z13" s="136"/>
      <c r="AA13" s="136"/>
      <c r="AB13" s="136"/>
      <c r="AC13" s="136"/>
      <c r="AD13" s="136"/>
      <c r="AE13" s="136"/>
      <c r="AF13" s="136"/>
      <c r="AG13" s="535"/>
    </row>
    <row r="14" spans="1:51" ht="18.75" customHeight="1" x14ac:dyDescent="0.15">
      <c r="A14" s="971" t="s">
        <v>161</v>
      </c>
      <c r="B14" s="550">
        <f>B4+B6+B8+B10+B12</f>
        <v>1684</v>
      </c>
      <c r="C14" s="550">
        <f t="shared" ref="C14:I14" si="5">C4+C6+C8+C10+C12</f>
        <v>1998</v>
      </c>
      <c r="D14" s="550">
        <f t="shared" si="5"/>
        <v>1339</v>
      </c>
      <c r="E14" s="550">
        <f t="shared" si="5"/>
        <v>1274</v>
      </c>
      <c r="F14" s="550">
        <f t="shared" si="5"/>
        <v>1227</v>
      </c>
      <c r="G14" s="550">
        <f t="shared" si="5"/>
        <v>5231</v>
      </c>
      <c r="H14" s="550">
        <f t="shared" si="5"/>
        <v>161</v>
      </c>
      <c r="I14" s="550">
        <f t="shared" si="5"/>
        <v>2078</v>
      </c>
      <c r="J14" s="551">
        <f>SUM(B14:I14)</f>
        <v>14992</v>
      </c>
      <c r="M14" s="136"/>
      <c r="N14" s="136"/>
      <c r="O14" s="136"/>
      <c r="P14" s="136"/>
      <c r="Q14" s="136"/>
      <c r="R14" s="136"/>
      <c r="S14" s="136"/>
      <c r="T14" s="136"/>
      <c r="U14" s="136"/>
      <c r="V14" s="136"/>
      <c r="W14" s="136"/>
      <c r="X14" s="136"/>
      <c r="Y14" s="136"/>
      <c r="Z14" s="136"/>
      <c r="AA14" s="136"/>
      <c r="AB14" s="136"/>
      <c r="AC14" s="136"/>
      <c r="AD14" s="136"/>
      <c r="AE14" s="136"/>
      <c r="AF14" s="136"/>
      <c r="AG14" s="535"/>
    </row>
    <row r="15" spans="1:51" ht="18.75" customHeight="1" x14ac:dyDescent="0.15">
      <c r="A15" s="969"/>
      <c r="B15" s="552">
        <f>SUM(B5,B7,B9,B11,B13)</f>
        <v>0.99999999999999989</v>
      </c>
      <c r="C15" s="552">
        <f>SUM(C5,C7,C9,C11,C13)</f>
        <v>1</v>
      </c>
      <c r="D15" s="552">
        <f t="shared" ref="D15:J15" si="6">SUM(D5,D7,D9,D11,D13)</f>
        <v>1</v>
      </c>
      <c r="E15" s="552">
        <f t="shared" si="6"/>
        <v>0.99999999999999989</v>
      </c>
      <c r="F15" s="552">
        <f t="shared" si="6"/>
        <v>1</v>
      </c>
      <c r="G15" s="552">
        <f t="shared" si="6"/>
        <v>0.99999999999999989</v>
      </c>
      <c r="H15" s="552">
        <f t="shared" si="6"/>
        <v>1</v>
      </c>
      <c r="I15" s="552">
        <f t="shared" si="6"/>
        <v>1</v>
      </c>
      <c r="J15" s="552">
        <f t="shared" si="6"/>
        <v>1</v>
      </c>
      <c r="M15" s="136"/>
      <c r="N15" s="136"/>
      <c r="O15" s="136"/>
      <c r="P15" s="136"/>
      <c r="Q15" s="136"/>
      <c r="R15" s="136"/>
      <c r="S15" s="136"/>
      <c r="T15" s="136"/>
      <c r="U15" s="136"/>
      <c r="V15" s="136"/>
      <c r="W15" s="136"/>
      <c r="X15" s="136"/>
      <c r="Y15" s="136"/>
      <c r="Z15" s="136"/>
      <c r="AA15" s="136"/>
      <c r="AB15" s="136"/>
      <c r="AC15" s="136"/>
      <c r="AD15" s="136"/>
      <c r="AE15" s="136"/>
      <c r="AF15" s="136"/>
      <c r="AG15" s="535"/>
    </row>
    <row r="16" spans="1:51" x14ac:dyDescent="0.15">
      <c r="AG16" s="535"/>
    </row>
    <row r="17" spans="1:33" x14ac:dyDescent="0.15">
      <c r="B17" s="38"/>
      <c r="AG17" s="535"/>
    </row>
    <row r="18" spans="1:33" x14ac:dyDescent="0.15">
      <c r="AG18" s="535"/>
    </row>
    <row r="19" spans="1:33" x14ac:dyDescent="0.15">
      <c r="AG19" s="535"/>
    </row>
    <row r="20" spans="1:33" x14ac:dyDescent="0.15">
      <c r="AG20" s="535"/>
    </row>
    <row r="21" spans="1:33" x14ac:dyDescent="0.15">
      <c r="AG21" s="535"/>
    </row>
    <row r="22" spans="1:33" x14ac:dyDescent="0.15">
      <c r="A22" s="407"/>
      <c r="B22" s="60"/>
      <c r="C22" s="60"/>
      <c r="D22" s="60"/>
      <c r="E22" s="60"/>
      <c r="F22" s="60"/>
      <c r="G22" s="60"/>
      <c r="H22" s="60"/>
      <c r="I22" s="60"/>
      <c r="J22" s="60"/>
      <c r="K22" s="60"/>
      <c r="L22" s="60"/>
      <c r="M22" s="60"/>
      <c r="N22" s="60"/>
      <c r="O22" s="60"/>
      <c r="P22" s="60"/>
      <c r="Q22" s="60"/>
      <c r="R22" s="60"/>
      <c r="S22" s="60"/>
      <c r="AG22" s="535"/>
    </row>
  </sheetData>
  <mergeCells count="5">
    <mergeCell ref="A6:A7"/>
    <mergeCell ref="A8:A9"/>
    <mergeCell ref="A10:A11"/>
    <mergeCell ref="A12:A13"/>
    <mergeCell ref="A14:A15"/>
  </mergeCells>
  <phoneticPr fontId="2"/>
  <printOptions horizontalCentered="1"/>
  <pageMargins left="0.70866141732283472" right="0.70866141732283472" top="0.74803149606299213" bottom="0.74803149606299213"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7889" r:id="rId4" name="Button 1">
              <controlPr defaultSize="0" print="0" autoFill="0" autoPict="0" macro="[0]!データ削除_入院形態病院圏域">
                <anchor moveWithCells="1" sizeWithCells="1">
                  <from>
                    <xdr:col>29</xdr:col>
                    <xdr:colOff>723900</xdr:colOff>
                    <xdr:row>0</xdr:row>
                    <xdr:rowOff>76200</xdr:rowOff>
                  </from>
                  <to>
                    <xdr:col>31</xdr:col>
                    <xdr:colOff>495300</xdr:colOff>
                    <xdr:row>1</xdr:row>
                    <xdr:rowOff>123825</xdr:rowOff>
                  </to>
                </anchor>
              </controlPr>
            </control>
          </mc:Choice>
        </mc:AlternateContent>
      </controls>
    </mc:Choice>
  </mc:AlternateContent>
  <tableParts count="1">
    <tablePart r:id="rId5"/>
  </tablePart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4">
    <tabColor theme="9" tint="-0.499984740745262"/>
    <pageSetUpPr fitToPage="1"/>
  </sheetPr>
  <dimension ref="A1:AI55"/>
  <sheetViews>
    <sheetView showGridLines="0" view="pageBreakPreview" topLeftCell="B1" zoomScale="70" zoomScaleNormal="80" zoomScaleSheetLayoutView="70" workbookViewId="0">
      <selection activeCell="M1" sqref="M1:AJ1048576"/>
    </sheetView>
  </sheetViews>
  <sheetFormatPr defaultColWidth="13.75" defaultRowHeight="18.75" x14ac:dyDescent="0.15"/>
  <cols>
    <col min="1" max="1" width="27.5" style="537" customWidth="1"/>
    <col min="2" max="10" width="8.75" style="537" customWidth="1"/>
    <col min="11" max="11" width="8.625" style="537" customWidth="1"/>
    <col min="12" max="12" width="11" style="537" customWidth="1"/>
    <col min="13" max="13" width="10.75" style="537" hidden="1" customWidth="1"/>
    <col min="14" max="15" width="12.5" style="537" hidden="1" customWidth="1"/>
    <col min="16" max="16" width="8.875" style="537" hidden="1" customWidth="1"/>
    <col min="17" max="17" width="12.5" style="537" hidden="1" customWidth="1"/>
    <col min="18" max="18" width="14.25" style="537" hidden="1" customWidth="1"/>
    <col min="19" max="19" width="16.125" style="537" hidden="1" customWidth="1"/>
    <col min="20" max="21" width="12.5" style="537" hidden="1" customWidth="1"/>
    <col min="22" max="22" width="16.125" style="537" hidden="1" customWidth="1"/>
    <col min="23" max="23" width="14.25" style="537" hidden="1" customWidth="1"/>
    <col min="24" max="26" width="12.5" style="537" hidden="1" customWidth="1"/>
    <col min="27" max="30" width="10.75" style="537" hidden="1" customWidth="1"/>
    <col min="31" max="31" width="8.875" style="537" hidden="1" customWidth="1"/>
    <col min="32" max="35" width="13.75" style="537" hidden="1" customWidth="1"/>
    <col min="36" max="36" width="0" style="537" hidden="1" customWidth="1"/>
    <col min="37" max="16384" width="13.75" style="537"/>
  </cols>
  <sheetData>
    <row r="1" spans="1:33" s="3" customFormat="1" ht="19.5" x14ac:dyDescent="0.15">
      <c r="A1" s="2" t="s">
        <v>407</v>
      </c>
    </row>
    <row r="2" spans="1:33" ht="19.5" thickBot="1" x14ac:dyDescent="0.2">
      <c r="A2" s="4"/>
    </row>
    <row r="3" spans="1:33" ht="18.75" customHeight="1" thickTop="1" thickBot="1" x14ac:dyDescent="0.2">
      <c r="A3" s="545"/>
      <c r="B3" s="545" t="s">
        <v>387</v>
      </c>
      <c r="C3" s="545" t="s">
        <v>388</v>
      </c>
      <c r="D3" s="545" t="s">
        <v>389</v>
      </c>
      <c r="E3" s="545" t="s">
        <v>390</v>
      </c>
      <c r="F3" s="545" t="s">
        <v>391</v>
      </c>
      <c r="G3" s="545" t="s">
        <v>392</v>
      </c>
      <c r="H3" s="545" t="s">
        <v>393</v>
      </c>
      <c r="I3" s="545" t="s">
        <v>394</v>
      </c>
      <c r="J3" s="545" t="s">
        <v>62</v>
      </c>
      <c r="K3" s="8"/>
      <c r="M3" s="703" t="s">
        <v>373</v>
      </c>
      <c r="N3" s="633" t="s">
        <v>395</v>
      </c>
      <c r="O3" s="633" t="s">
        <v>396</v>
      </c>
      <c r="P3" s="633" t="s">
        <v>397</v>
      </c>
      <c r="Q3" s="633" t="s">
        <v>398</v>
      </c>
      <c r="R3" s="633" t="s">
        <v>399</v>
      </c>
      <c r="S3" s="633" t="s">
        <v>400</v>
      </c>
      <c r="T3" s="633" t="s">
        <v>401</v>
      </c>
      <c r="U3" s="633" t="s">
        <v>402</v>
      </c>
      <c r="V3" s="633" t="s">
        <v>403</v>
      </c>
      <c r="W3" s="633" t="s">
        <v>404</v>
      </c>
      <c r="X3" s="633" t="s">
        <v>565</v>
      </c>
      <c r="Y3" s="633" t="s">
        <v>566</v>
      </c>
      <c r="Z3" s="633" t="s">
        <v>567</v>
      </c>
      <c r="AA3" s="633" t="s">
        <v>568</v>
      </c>
      <c r="AB3" s="633" t="s">
        <v>569</v>
      </c>
      <c r="AC3" s="633" t="s">
        <v>570</v>
      </c>
      <c r="AD3" s="633" t="s">
        <v>571</v>
      </c>
      <c r="AE3" s="633" t="s">
        <v>572</v>
      </c>
      <c r="AF3" s="633" t="s">
        <v>573</v>
      </c>
      <c r="AG3" s="136" t="s">
        <v>607</v>
      </c>
    </row>
    <row r="4" spans="1:33" ht="18.75" customHeight="1" thickTop="1" x14ac:dyDescent="0.15">
      <c r="A4" s="972" t="s">
        <v>408</v>
      </c>
      <c r="B4" s="546">
        <f>B6+B8+B10</f>
        <v>356</v>
      </c>
      <c r="C4" s="546">
        <f>C6+C8+C10</f>
        <v>642</v>
      </c>
      <c r="D4" s="546">
        <f t="shared" ref="D4:I4" si="0">D6+D8+D10</f>
        <v>286</v>
      </c>
      <c r="E4" s="546">
        <f t="shared" si="0"/>
        <v>297</v>
      </c>
      <c r="F4" s="546">
        <f t="shared" si="0"/>
        <v>260</v>
      </c>
      <c r="G4" s="546">
        <f t="shared" si="0"/>
        <v>1846</v>
      </c>
      <c r="H4" s="546">
        <f>H6+H8+H10</f>
        <v>14</v>
      </c>
      <c r="I4" s="546">
        <f t="shared" si="0"/>
        <v>534</v>
      </c>
      <c r="J4" s="547">
        <f>SUM(B4:I4)</f>
        <v>4235</v>
      </c>
      <c r="K4" s="8"/>
      <c r="M4" s="665" t="s">
        <v>295</v>
      </c>
      <c r="N4" s="666">
        <v>110</v>
      </c>
      <c r="O4" s="666">
        <v>50</v>
      </c>
      <c r="P4" s="666">
        <v>4</v>
      </c>
      <c r="Q4" s="666">
        <v>250</v>
      </c>
      <c r="R4" s="666">
        <v>105</v>
      </c>
      <c r="S4" s="666">
        <v>78</v>
      </c>
      <c r="T4" s="666">
        <v>12</v>
      </c>
      <c r="U4" s="666">
        <v>37</v>
      </c>
      <c r="V4" s="666">
        <v>15</v>
      </c>
      <c r="W4" s="666">
        <v>82</v>
      </c>
      <c r="X4" s="666">
        <v>81</v>
      </c>
      <c r="Y4" s="666">
        <v>3</v>
      </c>
      <c r="Z4" s="666">
        <v>41</v>
      </c>
      <c r="AA4" s="666">
        <v>88</v>
      </c>
      <c r="AB4" s="666">
        <v>257</v>
      </c>
      <c r="AC4" s="666">
        <v>395</v>
      </c>
      <c r="AD4" s="666">
        <v>242</v>
      </c>
      <c r="AE4" s="666">
        <v>4</v>
      </c>
      <c r="AF4" s="666">
        <v>283</v>
      </c>
      <c r="AG4" s="136"/>
    </row>
    <row r="5" spans="1:33" ht="18.75" customHeight="1" x14ac:dyDescent="0.15">
      <c r="A5" s="973"/>
      <c r="B5" s="549">
        <f>B4/B$34</f>
        <v>0.21140142517814728</v>
      </c>
      <c r="C5" s="549">
        <f t="shared" ref="C5:I5" si="1">C4/C$34</f>
        <v>0.3213213213213213</v>
      </c>
      <c r="D5" s="549">
        <f t="shared" si="1"/>
        <v>0.21359223300970873</v>
      </c>
      <c r="E5" s="549">
        <f t="shared" si="1"/>
        <v>0.23312401883830455</v>
      </c>
      <c r="F5" s="549">
        <f t="shared" si="1"/>
        <v>0.21189894050529748</v>
      </c>
      <c r="G5" s="549">
        <f t="shared" si="1"/>
        <v>0.35289619575606956</v>
      </c>
      <c r="H5" s="549">
        <f t="shared" si="1"/>
        <v>8.6956521739130432E-2</v>
      </c>
      <c r="I5" s="549">
        <f t="shared" si="1"/>
        <v>0.25697786333012512</v>
      </c>
      <c r="J5" s="549">
        <f>J4/J$34</f>
        <v>0.28248399146211312</v>
      </c>
      <c r="K5" s="557"/>
      <c r="M5" s="665" t="s">
        <v>284</v>
      </c>
      <c r="N5" s="666">
        <v>18</v>
      </c>
      <c r="O5" s="666">
        <v>4</v>
      </c>
      <c r="P5" s="666"/>
      <c r="Q5" s="666">
        <v>53</v>
      </c>
      <c r="R5" s="666">
        <v>7</v>
      </c>
      <c r="S5" s="666">
        <v>11</v>
      </c>
      <c r="T5" s="666">
        <v>1</v>
      </c>
      <c r="U5" s="666">
        <v>2</v>
      </c>
      <c r="V5" s="666">
        <v>1</v>
      </c>
      <c r="W5" s="666">
        <v>10</v>
      </c>
      <c r="X5" s="666">
        <v>6</v>
      </c>
      <c r="Y5" s="666"/>
      <c r="Z5" s="666">
        <v>3</v>
      </c>
      <c r="AA5" s="666">
        <v>12</v>
      </c>
      <c r="AB5" s="666">
        <v>31</v>
      </c>
      <c r="AC5" s="666">
        <v>69</v>
      </c>
      <c r="AD5" s="666">
        <v>57</v>
      </c>
      <c r="AE5" s="666"/>
      <c r="AF5" s="666">
        <v>37</v>
      </c>
      <c r="AG5" s="136"/>
    </row>
    <row r="6" spans="1:33" ht="18.75" customHeight="1" x14ac:dyDescent="0.15">
      <c r="A6" s="974" t="s">
        <v>409</v>
      </c>
      <c r="B6" s="546">
        <f>SUM(N4:P4)</f>
        <v>164</v>
      </c>
      <c r="C6" s="546">
        <f>SUM(Q4:R4)</f>
        <v>355</v>
      </c>
      <c r="D6" s="546">
        <f>SUM(S4:V4)</f>
        <v>142</v>
      </c>
      <c r="E6" s="546">
        <f>SUM(W4:Y4)</f>
        <v>166</v>
      </c>
      <c r="F6" s="546">
        <f>SUM(Z4:AA4)</f>
        <v>129</v>
      </c>
      <c r="G6" s="546">
        <f>SUM(AB4:AD4)</f>
        <v>894</v>
      </c>
      <c r="H6" s="546">
        <f>AE4</f>
        <v>4</v>
      </c>
      <c r="I6" s="546">
        <f>AF4</f>
        <v>283</v>
      </c>
      <c r="J6" s="547">
        <f>SUM(B6:I6)</f>
        <v>2137</v>
      </c>
      <c r="K6" s="8"/>
      <c r="M6" s="665" t="s">
        <v>285</v>
      </c>
      <c r="N6" s="666">
        <v>56</v>
      </c>
      <c r="O6" s="666">
        <v>103</v>
      </c>
      <c r="P6" s="666">
        <v>11</v>
      </c>
      <c r="Q6" s="666">
        <v>167</v>
      </c>
      <c r="R6" s="666">
        <v>60</v>
      </c>
      <c r="S6" s="666">
        <v>59</v>
      </c>
      <c r="T6" s="666">
        <v>48</v>
      </c>
      <c r="U6" s="666">
        <v>9</v>
      </c>
      <c r="V6" s="666">
        <v>13</v>
      </c>
      <c r="W6" s="666">
        <v>74</v>
      </c>
      <c r="X6" s="666">
        <v>29</v>
      </c>
      <c r="Y6" s="666">
        <v>12</v>
      </c>
      <c r="Z6" s="666">
        <v>43</v>
      </c>
      <c r="AA6" s="666">
        <v>73</v>
      </c>
      <c r="AB6" s="666">
        <v>311</v>
      </c>
      <c r="AC6" s="666">
        <v>284</v>
      </c>
      <c r="AD6" s="666">
        <v>200</v>
      </c>
      <c r="AE6" s="666">
        <v>10</v>
      </c>
      <c r="AF6" s="666">
        <v>214</v>
      </c>
      <c r="AG6" s="136"/>
    </row>
    <row r="7" spans="1:33" ht="18.75" customHeight="1" x14ac:dyDescent="0.15">
      <c r="A7" s="975"/>
      <c r="B7" s="549">
        <f>B6/B$34</f>
        <v>9.7387173396674589E-2</v>
      </c>
      <c r="C7" s="549">
        <f t="shared" ref="C7:J7" si="2">C6/C$34</f>
        <v>0.17767767767767767</v>
      </c>
      <c r="D7" s="549">
        <f t="shared" si="2"/>
        <v>0.10604929051530994</v>
      </c>
      <c r="E7" s="549">
        <f t="shared" si="2"/>
        <v>0.13029827315541601</v>
      </c>
      <c r="F7" s="549">
        <f t="shared" si="2"/>
        <v>0.10513447432762836</v>
      </c>
      <c r="G7" s="549">
        <f t="shared" si="2"/>
        <v>0.17090422481361117</v>
      </c>
      <c r="H7" s="549">
        <f t="shared" si="2"/>
        <v>2.4844720496894408E-2</v>
      </c>
      <c r="I7" s="549">
        <f t="shared" si="2"/>
        <v>0.13618864292589028</v>
      </c>
      <c r="J7" s="549">
        <f t="shared" si="2"/>
        <v>0.14254268943436499</v>
      </c>
      <c r="K7" s="557"/>
      <c r="M7" s="665" t="s">
        <v>286</v>
      </c>
      <c r="N7" s="666">
        <v>18</v>
      </c>
      <c r="O7" s="666">
        <v>16</v>
      </c>
      <c r="P7" s="666"/>
      <c r="Q7" s="666">
        <v>32</v>
      </c>
      <c r="R7" s="666">
        <v>54</v>
      </c>
      <c r="S7" s="666">
        <v>19</v>
      </c>
      <c r="T7" s="666">
        <v>3</v>
      </c>
      <c r="U7" s="666">
        <v>4</v>
      </c>
      <c r="V7" s="666">
        <v>8</v>
      </c>
      <c r="W7" s="666">
        <v>5</v>
      </c>
      <c r="X7" s="666">
        <v>4</v>
      </c>
      <c r="Y7" s="666">
        <v>5</v>
      </c>
      <c r="Z7" s="666">
        <v>13</v>
      </c>
      <c r="AA7" s="666">
        <v>26</v>
      </c>
      <c r="AB7" s="666">
        <v>310</v>
      </c>
      <c r="AC7" s="666">
        <v>89</v>
      </c>
      <c r="AD7" s="666">
        <v>17</v>
      </c>
      <c r="AE7" s="666">
        <v>2</v>
      </c>
      <c r="AF7" s="666">
        <v>70</v>
      </c>
      <c r="AG7" s="136"/>
    </row>
    <row r="8" spans="1:33" ht="18.75" customHeight="1" x14ac:dyDescent="0.15">
      <c r="A8" s="974" t="s">
        <v>410</v>
      </c>
      <c r="B8" s="546">
        <f>SUM(N5:P5)</f>
        <v>22</v>
      </c>
      <c r="C8" s="546">
        <f>SUM(Q5:R5)</f>
        <v>60</v>
      </c>
      <c r="D8" s="546">
        <f>SUM(S5:V5)</f>
        <v>15</v>
      </c>
      <c r="E8" s="546">
        <f>SUM(W5:Y5)</f>
        <v>16</v>
      </c>
      <c r="F8" s="546">
        <f>SUM(Z5:AA5)</f>
        <v>15</v>
      </c>
      <c r="G8" s="546">
        <f>SUM(AB5:AD5)</f>
        <v>157</v>
      </c>
      <c r="H8" s="546">
        <f>AE5</f>
        <v>0</v>
      </c>
      <c r="I8" s="546">
        <f>AF5</f>
        <v>37</v>
      </c>
      <c r="J8" s="547">
        <f>SUM(B8:I8)</f>
        <v>322</v>
      </c>
      <c r="K8" s="8"/>
      <c r="M8" s="665" t="s">
        <v>201</v>
      </c>
      <c r="N8" s="666"/>
      <c r="O8" s="666">
        <v>2</v>
      </c>
      <c r="P8" s="666"/>
      <c r="Q8" s="666"/>
      <c r="R8" s="666">
        <v>3</v>
      </c>
      <c r="S8" s="666">
        <v>4</v>
      </c>
      <c r="T8" s="666">
        <v>1</v>
      </c>
      <c r="U8" s="666">
        <v>1</v>
      </c>
      <c r="V8" s="666"/>
      <c r="W8" s="666">
        <v>1</v>
      </c>
      <c r="X8" s="666"/>
      <c r="Y8" s="666"/>
      <c r="Z8" s="666">
        <v>4</v>
      </c>
      <c r="AA8" s="666">
        <v>10</v>
      </c>
      <c r="AB8" s="666"/>
      <c r="AC8" s="666">
        <v>38</v>
      </c>
      <c r="AD8" s="666">
        <v>9</v>
      </c>
      <c r="AE8" s="666">
        <v>2</v>
      </c>
      <c r="AF8" s="666">
        <v>4</v>
      </c>
      <c r="AG8" s="136"/>
    </row>
    <row r="9" spans="1:33" ht="18.75" customHeight="1" x14ac:dyDescent="0.15">
      <c r="A9" s="975"/>
      <c r="B9" s="549">
        <f>B8/B$34</f>
        <v>1.3064133016627079E-2</v>
      </c>
      <c r="C9" s="549">
        <f t="shared" ref="C9:J9" si="3">C8/C$34</f>
        <v>3.003003003003003E-2</v>
      </c>
      <c r="D9" s="549">
        <f t="shared" si="3"/>
        <v>1.1202389843166542E-2</v>
      </c>
      <c r="E9" s="549">
        <f t="shared" si="3"/>
        <v>1.2558869701726845E-2</v>
      </c>
      <c r="F9" s="549">
        <f t="shared" si="3"/>
        <v>1.2224938875305624E-2</v>
      </c>
      <c r="G9" s="549">
        <f t="shared" si="3"/>
        <v>3.0013381762569298E-2</v>
      </c>
      <c r="H9" s="549">
        <f t="shared" si="3"/>
        <v>0</v>
      </c>
      <c r="I9" s="549">
        <f t="shared" si="3"/>
        <v>1.7805582290664101E-2</v>
      </c>
      <c r="J9" s="549">
        <f t="shared" si="3"/>
        <v>2.1478121664887939E-2</v>
      </c>
      <c r="K9" s="557"/>
      <c r="M9" s="665" t="s">
        <v>200</v>
      </c>
      <c r="N9" s="666">
        <v>2</v>
      </c>
      <c r="O9" s="666">
        <v>1</v>
      </c>
      <c r="P9" s="666"/>
      <c r="Q9" s="666"/>
      <c r="R9" s="666">
        <v>1</v>
      </c>
      <c r="S9" s="666">
        <v>6</v>
      </c>
      <c r="T9" s="666"/>
      <c r="U9" s="666"/>
      <c r="V9" s="666">
        <v>1</v>
      </c>
      <c r="W9" s="666">
        <v>4</v>
      </c>
      <c r="X9" s="666"/>
      <c r="Y9" s="666">
        <v>1</v>
      </c>
      <c r="Z9" s="666"/>
      <c r="AA9" s="666">
        <v>1</v>
      </c>
      <c r="AB9" s="666">
        <v>2</v>
      </c>
      <c r="AC9" s="666">
        <v>15</v>
      </c>
      <c r="AD9" s="666">
        <v>2</v>
      </c>
      <c r="AE9" s="666"/>
      <c r="AF9" s="666">
        <v>3</v>
      </c>
      <c r="AG9" s="136"/>
    </row>
    <row r="10" spans="1:33" ht="18.75" customHeight="1" x14ac:dyDescent="0.15">
      <c r="A10" s="974" t="s">
        <v>411</v>
      </c>
      <c r="B10" s="546">
        <f>SUM(N6:P6)</f>
        <v>170</v>
      </c>
      <c r="C10" s="546">
        <f>SUM(Q6:R6)</f>
        <v>227</v>
      </c>
      <c r="D10" s="546">
        <f>SUM(S6:V6)</f>
        <v>129</v>
      </c>
      <c r="E10" s="546">
        <f>SUM(W6:Y6)</f>
        <v>115</v>
      </c>
      <c r="F10" s="546">
        <f>SUM(Z6:AA6)</f>
        <v>116</v>
      </c>
      <c r="G10" s="546">
        <f>SUM(AB6:AD6)</f>
        <v>795</v>
      </c>
      <c r="H10" s="546">
        <f>AE6</f>
        <v>10</v>
      </c>
      <c r="I10" s="546">
        <f>AF6</f>
        <v>214</v>
      </c>
      <c r="J10" s="547">
        <f>SUM(B10:I10)</f>
        <v>1776</v>
      </c>
      <c r="K10" s="8"/>
      <c r="M10" s="665" t="s">
        <v>287</v>
      </c>
      <c r="N10" s="666">
        <v>263</v>
      </c>
      <c r="O10" s="666">
        <v>511</v>
      </c>
      <c r="P10" s="666">
        <v>250</v>
      </c>
      <c r="Q10" s="666">
        <v>646</v>
      </c>
      <c r="R10" s="666">
        <v>286</v>
      </c>
      <c r="S10" s="666">
        <v>390</v>
      </c>
      <c r="T10" s="666">
        <v>124</v>
      </c>
      <c r="U10" s="666">
        <v>120</v>
      </c>
      <c r="V10" s="666">
        <v>121</v>
      </c>
      <c r="W10" s="666">
        <v>401</v>
      </c>
      <c r="X10" s="666">
        <v>158</v>
      </c>
      <c r="Y10" s="666">
        <v>122</v>
      </c>
      <c r="Z10" s="666">
        <v>278</v>
      </c>
      <c r="AA10" s="666">
        <v>412</v>
      </c>
      <c r="AB10" s="666">
        <v>568</v>
      </c>
      <c r="AC10" s="666">
        <v>1033</v>
      </c>
      <c r="AD10" s="666">
        <v>545</v>
      </c>
      <c r="AE10" s="666">
        <v>56</v>
      </c>
      <c r="AF10" s="666">
        <v>1045</v>
      </c>
      <c r="AG10" s="136"/>
    </row>
    <row r="11" spans="1:33" ht="26.25" customHeight="1" x14ac:dyDescent="0.15">
      <c r="A11" s="975"/>
      <c r="B11" s="549">
        <f>B10/B$34</f>
        <v>0.10095011876484561</v>
      </c>
      <c r="C11" s="549">
        <f t="shared" ref="C11:J11" si="4">C10/C$34</f>
        <v>0.11361361361361362</v>
      </c>
      <c r="D11" s="549">
        <f t="shared" si="4"/>
        <v>9.6340552651232259E-2</v>
      </c>
      <c r="E11" s="549">
        <f t="shared" si="4"/>
        <v>9.026687598116169E-2</v>
      </c>
      <c r="F11" s="549">
        <f t="shared" si="4"/>
        <v>9.4539527302363494E-2</v>
      </c>
      <c r="G11" s="549">
        <f t="shared" si="4"/>
        <v>0.15197858917988913</v>
      </c>
      <c r="H11" s="549">
        <f t="shared" si="4"/>
        <v>6.2111801242236024E-2</v>
      </c>
      <c r="I11" s="549">
        <f t="shared" si="4"/>
        <v>0.10298363811357074</v>
      </c>
      <c r="J11" s="549">
        <f t="shared" si="4"/>
        <v>0.11846318036286019</v>
      </c>
      <c r="K11" s="557"/>
      <c r="M11" s="665" t="s">
        <v>288</v>
      </c>
      <c r="N11" s="666">
        <v>18</v>
      </c>
      <c r="O11" s="666">
        <v>74</v>
      </c>
      <c r="P11" s="666">
        <v>17</v>
      </c>
      <c r="Q11" s="666">
        <v>68</v>
      </c>
      <c r="R11" s="666">
        <v>42</v>
      </c>
      <c r="S11" s="666">
        <v>26</v>
      </c>
      <c r="T11" s="666">
        <v>5</v>
      </c>
      <c r="U11" s="666">
        <v>20</v>
      </c>
      <c r="V11" s="666">
        <v>12</v>
      </c>
      <c r="W11" s="666">
        <v>37</v>
      </c>
      <c r="X11" s="666">
        <v>43</v>
      </c>
      <c r="Y11" s="666">
        <v>6</v>
      </c>
      <c r="Z11" s="666">
        <v>38</v>
      </c>
      <c r="AA11" s="666">
        <v>30</v>
      </c>
      <c r="AB11" s="666">
        <v>29</v>
      </c>
      <c r="AC11" s="666">
        <v>100</v>
      </c>
      <c r="AD11" s="666">
        <v>35</v>
      </c>
      <c r="AE11" s="666">
        <v>9</v>
      </c>
      <c r="AF11" s="666">
        <v>151</v>
      </c>
      <c r="AG11" s="136"/>
    </row>
    <row r="12" spans="1:33" ht="18.75" customHeight="1" x14ac:dyDescent="0.15">
      <c r="A12" s="972" t="s">
        <v>20</v>
      </c>
      <c r="B12" s="546">
        <f>SUM(N7:P9)</f>
        <v>39</v>
      </c>
      <c r="C12" s="546">
        <f>SUM(Q7:R9)</f>
        <v>90</v>
      </c>
      <c r="D12" s="546">
        <f>SUM(S7:V9)</f>
        <v>47</v>
      </c>
      <c r="E12" s="546">
        <f>SUM(W7:Y9)</f>
        <v>20</v>
      </c>
      <c r="F12" s="546">
        <f>SUM(Z7:AA9)</f>
        <v>54</v>
      </c>
      <c r="G12" s="546">
        <f>SUM(AB7:AD9)</f>
        <v>482</v>
      </c>
      <c r="H12" s="546">
        <f>SUM(AE7:AE9)</f>
        <v>4</v>
      </c>
      <c r="I12" s="546">
        <f>SUM(AF7:AF9)</f>
        <v>77</v>
      </c>
      <c r="J12" s="547">
        <f>SUM(B12:I12)</f>
        <v>813</v>
      </c>
      <c r="K12" s="8"/>
      <c r="M12" s="665" t="s">
        <v>289</v>
      </c>
      <c r="N12" s="666">
        <v>29</v>
      </c>
      <c r="O12" s="666">
        <v>30</v>
      </c>
      <c r="P12" s="666">
        <v>9</v>
      </c>
      <c r="Q12" s="666">
        <v>30</v>
      </c>
      <c r="R12" s="666">
        <v>34</v>
      </c>
      <c r="S12" s="666">
        <v>36</v>
      </c>
      <c r="T12" s="666">
        <v>15</v>
      </c>
      <c r="U12" s="666">
        <v>10</v>
      </c>
      <c r="V12" s="666">
        <v>10</v>
      </c>
      <c r="W12" s="666">
        <v>58</v>
      </c>
      <c r="X12" s="666"/>
      <c r="Y12" s="666">
        <v>17</v>
      </c>
      <c r="Z12" s="666">
        <v>16</v>
      </c>
      <c r="AA12" s="666">
        <v>58</v>
      </c>
      <c r="AB12" s="666">
        <v>80</v>
      </c>
      <c r="AC12" s="666">
        <v>133</v>
      </c>
      <c r="AD12" s="666">
        <v>66</v>
      </c>
      <c r="AE12" s="666">
        <v>29</v>
      </c>
      <c r="AF12" s="666">
        <v>113</v>
      </c>
      <c r="AG12" s="136"/>
    </row>
    <row r="13" spans="1:33" ht="18.75" customHeight="1" x14ac:dyDescent="0.15">
      <c r="A13" s="973"/>
      <c r="B13" s="549">
        <f>B12/B$34</f>
        <v>2.315914489311164E-2</v>
      </c>
      <c r="C13" s="549">
        <f t="shared" ref="C13:J13" si="5">C12/C$34</f>
        <v>4.5045045045045043E-2</v>
      </c>
      <c r="D13" s="549">
        <f t="shared" si="5"/>
        <v>3.5100821508588502E-2</v>
      </c>
      <c r="E13" s="549">
        <f t="shared" si="5"/>
        <v>1.5698587127158554E-2</v>
      </c>
      <c r="F13" s="549">
        <f t="shared" si="5"/>
        <v>4.4009779951100246E-2</v>
      </c>
      <c r="G13" s="549">
        <f t="shared" si="5"/>
        <v>9.2142993691454789E-2</v>
      </c>
      <c r="H13" s="549">
        <f t="shared" si="5"/>
        <v>2.4844720496894408E-2</v>
      </c>
      <c r="I13" s="549">
        <f t="shared" si="5"/>
        <v>3.7054860442733401E-2</v>
      </c>
      <c r="J13" s="549">
        <f t="shared" si="5"/>
        <v>5.4228922091782282E-2</v>
      </c>
      <c r="K13" s="557"/>
      <c r="M13" s="665" t="s">
        <v>290</v>
      </c>
      <c r="N13" s="666">
        <v>5</v>
      </c>
      <c r="O13" s="666">
        <v>20</v>
      </c>
      <c r="P13" s="666">
        <v>2</v>
      </c>
      <c r="Q13" s="666">
        <v>9</v>
      </c>
      <c r="R13" s="666">
        <v>22</v>
      </c>
      <c r="S13" s="666">
        <v>14</v>
      </c>
      <c r="T13" s="666">
        <v>8</v>
      </c>
      <c r="U13" s="666">
        <v>4</v>
      </c>
      <c r="V13" s="666">
        <v>1</v>
      </c>
      <c r="W13" s="666">
        <v>21</v>
      </c>
      <c r="X13" s="666">
        <v>13</v>
      </c>
      <c r="Y13" s="666">
        <v>3</v>
      </c>
      <c r="Z13" s="666">
        <v>14</v>
      </c>
      <c r="AA13" s="666">
        <v>21</v>
      </c>
      <c r="AB13" s="666">
        <v>11</v>
      </c>
      <c r="AC13" s="666">
        <v>31</v>
      </c>
      <c r="AD13" s="666">
        <v>13</v>
      </c>
      <c r="AE13" s="666">
        <v>26</v>
      </c>
      <c r="AF13" s="666">
        <v>34</v>
      </c>
      <c r="AG13" s="136"/>
    </row>
    <row r="14" spans="1:33" ht="18.75" customHeight="1" x14ac:dyDescent="0.15">
      <c r="A14" s="972" t="s">
        <v>21</v>
      </c>
      <c r="B14" s="558">
        <f>SUM(N10:P10)</f>
        <v>1024</v>
      </c>
      <c r="C14" s="558">
        <f>SUM(Q10:R10)</f>
        <v>932</v>
      </c>
      <c r="D14" s="558">
        <f>SUM(S10:V10)</f>
        <v>755</v>
      </c>
      <c r="E14" s="558">
        <f>SUM(W10:Y10)</f>
        <v>681</v>
      </c>
      <c r="F14" s="558">
        <f>SUM(Z10:AA10)</f>
        <v>690</v>
      </c>
      <c r="G14" s="558">
        <f>SUM(AB10:AD10)</f>
        <v>2146</v>
      </c>
      <c r="H14" s="558">
        <f>AE10</f>
        <v>56</v>
      </c>
      <c r="I14" s="558">
        <f>AF10</f>
        <v>1045</v>
      </c>
      <c r="J14" s="559">
        <f>SUM(B14:I14)</f>
        <v>7329</v>
      </c>
      <c r="K14" s="8"/>
      <c r="M14" s="665" t="s">
        <v>291</v>
      </c>
      <c r="N14" s="666"/>
      <c r="O14" s="666"/>
      <c r="P14" s="666"/>
      <c r="Q14" s="666">
        <v>2</v>
      </c>
      <c r="R14" s="666">
        <v>1</v>
      </c>
      <c r="S14" s="666"/>
      <c r="T14" s="666"/>
      <c r="U14" s="666">
        <v>1</v>
      </c>
      <c r="V14" s="666"/>
      <c r="W14" s="666"/>
      <c r="X14" s="666"/>
      <c r="Y14" s="666"/>
      <c r="Z14" s="666"/>
      <c r="AA14" s="666">
        <v>3</v>
      </c>
      <c r="AB14" s="666"/>
      <c r="AC14" s="666">
        <v>3</v>
      </c>
      <c r="AD14" s="666">
        <v>1</v>
      </c>
      <c r="AE14" s="666">
        <v>17</v>
      </c>
      <c r="AF14" s="666">
        <v>5</v>
      </c>
      <c r="AG14" s="136"/>
    </row>
    <row r="15" spans="1:33" ht="18.75" customHeight="1" x14ac:dyDescent="0.15">
      <c r="A15" s="973"/>
      <c r="B15" s="549">
        <f>B14/B$34</f>
        <v>0.60807600950118768</v>
      </c>
      <c r="C15" s="549">
        <f t="shared" ref="C15:J15" si="6">C14/C$34</f>
        <v>0.46646646646646645</v>
      </c>
      <c r="D15" s="549">
        <f t="shared" si="6"/>
        <v>0.56385362210604928</v>
      </c>
      <c r="E15" s="549">
        <f t="shared" si="6"/>
        <v>0.53453689167974883</v>
      </c>
      <c r="F15" s="549">
        <f t="shared" si="6"/>
        <v>0.56234718826405872</v>
      </c>
      <c r="G15" s="549">
        <f t="shared" si="6"/>
        <v>0.41024660676734848</v>
      </c>
      <c r="H15" s="549">
        <f t="shared" si="6"/>
        <v>0.34782608695652173</v>
      </c>
      <c r="I15" s="549">
        <f t="shared" si="6"/>
        <v>0.50288739172281038</v>
      </c>
      <c r="J15" s="549">
        <f t="shared" si="6"/>
        <v>0.48886072572038419</v>
      </c>
      <c r="K15" s="557"/>
      <c r="M15" s="665" t="s">
        <v>296</v>
      </c>
      <c r="N15" s="666">
        <v>1</v>
      </c>
      <c r="O15" s="701">
        <v>1</v>
      </c>
      <c r="P15" s="666"/>
      <c r="Q15" s="666">
        <v>1</v>
      </c>
      <c r="R15" s="666">
        <v>7</v>
      </c>
      <c r="S15" s="666">
        <v>3</v>
      </c>
      <c r="T15" s="666"/>
      <c r="U15" s="666"/>
      <c r="V15" s="666">
        <v>1</v>
      </c>
      <c r="W15" s="666">
        <v>5</v>
      </c>
      <c r="X15" s="666"/>
      <c r="Y15" s="666">
        <v>1</v>
      </c>
      <c r="Z15" s="666">
        <v>1</v>
      </c>
      <c r="AA15" s="666">
        <v>7</v>
      </c>
      <c r="AB15" s="666">
        <v>3</v>
      </c>
      <c r="AC15" s="666">
        <v>9</v>
      </c>
      <c r="AD15" s="666">
        <v>7</v>
      </c>
      <c r="AE15" s="666"/>
      <c r="AF15" s="666">
        <v>7</v>
      </c>
      <c r="AG15" s="136"/>
    </row>
    <row r="16" spans="1:33" ht="18.75" customHeight="1" x14ac:dyDescent="0.15">
      <c r="A16" s="972" t="s">
        <v>22</v>
      </c>
      <c r="B16" s="546">
        <f>SUM(N11:P12)</f>
        <v>177</v>
      </c>
      <c r="C16" s="546">
        <f>SUM(Q11:R12)</f>
        <v>174</v>
      </c>
      <c r="D16" s="546">
        <f>SUM(S11:V12)</f>
        <v>134</v>
      </c>
      <c r="E16" s="546">
        <f>SUM(W11:Y12)</f>
        <v>161</v>
      </c>
      <c r="F16" s="546">
        <f>SUM(Z11:AA12)</f>
        <v>142</v>
      </c>
      <c r="G16" s="546">
        <f>SUM(AB11:AD12)</f>
        <v>443</v>
      </c>
      <c r="H16" s="546">
        <f>SUM(AE11:AE12)</f>
        <v>38</v>
      </c>
      <c r="I16" s="546">
        <f>SUM(AF11:AF12)</f>
        <v>264</v>
      </c>
      <c r="J16" s="547">
        <f>SUM(B16:I16)</f>
        <v>1533</v>
      </c>
      <c r="K16" s="8"/>
      <c r="M16" s="665" t="s">
        <v>292</v>
      </c>
      <c r="N16" s="666">
        <v>4</v>
      </c>
      <c r="O16" s="702">
        <v>18</v>
      </c>
      <c r="P16" s="666">
        <v>2</v>
      </c>
      <c r="Q16" s="666">
        <v>27</v>
      </c>
      <c r="R16" s="666">
        <v>10</v>
      </c>
      <c r="S16" s="666">
        <v>10</v>
      </c>
      <c r="T16" s="666">
        <v>4</v>
      </c>
      <c r="U16" s="666">
        <v>4</v>
      </c>
      <c r="V16" s="666">
        <v>5</v>
      </c>
      <c r="W16" s="666">
        <v>10</v>
      </c>
      <c r="X16" s="666">
        <v>4</v>
      </c>
      <c r="Y16" s="666">
        <v>3</v>
      </c>
      <c r="Z16" s="666">
        <v>7</v>
      </c>
      <c r="AA16" s="666">
        <v>8</v>
      </c>
      <c r="AB16" s="666">
        <v>26</v>
      </c>
      <c r="AC16" s="666">
        <v>71</v>
      </c>
      <c r="AD16" s="666">
        <v>33</v>
      </c>
      <c r="AE16" s="666">
        <v>2</v>
      </c>
      <c r="AF16" s="666">
        <v>40</v>
      </c>
      <c r="AG16" s="136"/>
    </row>
    <row r="17" spans="1:33" ht="18.75" customHeight="1" x14ac:dyDescent="0.15">
      <c r="A17" s="973"/>
      <c r="B17" s="549">
        <f>B16/B$34</f>
        <v>0.10510688836104513</v>
      </c>
      <c r="C17" s="549">
        <f t="shared" ref="C17:J17" si="7">C16/C$34</f>
        <v>8.7087087087087081E-2</v>
      </c>
      <c r="D17" s="549">
        <f t="shared" si="7"/>
        <v>0.10007468259895444</v>
      </c>
      <c r="E17" s="549">
        <f t="shared" si="7"/>
        <v>0.12637362637362637</v>
      </c>
      <c r="F17" s="549">
        <f t="shared" si="7"/>
        <v>0.11572942135289324</v>
      </c>
      <c r="G17" s="549">
        <f t="shared" si="7"/>
        <v>8.4687440259988533E-2</v>
      </c>
      <c r="H17" s="549">
        <f t="shared" si="7"/>
        <v>0.2360248447204969</v>
      </c>
      <c r="I17" s="549">
        <f t="shared" si="7"/>
        <v>0.12704523580365737</v>
      </c>
      <c r="J17" s="549">
        <f t="shared" si="7"/>
        <v>0.10225453575240127</v>
      </c>
      <c r="K17" s="557"/>
      <c r="M17" s="665" t="s">
        <v>293</v>
      </c>
      <c r="N17" s="666"/>
      <c r="O17" s="666">
        <v>10</v>
      </c>
      <c r="P17" s="666">
        <v>1</v>
      </c>
      <c r="Q17" s="666">
        <v>8</v>
      </c>
      <c r="R17" s="666">
        <v>10</v>
      </c>
      <c r="S17" s="666">
        <v>27</v>
      </c>
      <c r="T17" s="666">
        <v>3</v>
      </c>
      <c r="U17" s="666">
        <v>2</v>
      </c>
      <c r="V17" s="666"/>
      <c r="W17" s="666">
        <v>12</v>
      </c>
      <c r="X17" s="666">
        <v>3</v>
      </c>
      <c r="Y17" s="666">
        <v>4</v>
      </c>
      <c r="Z17" s="666">
        <v>3</v>
      </c>
      <c r="AA17" s="666">
        <v>5</v>
      </c>
      <c r="AB17" s="666">
        <v>6</v>
      </c>
      <c r="AC17" s="666">
        <v>24</v>
      </c>
      <c r="AD17" s="666">
        <v>7</v>
      </c>
      <c r="AE17" s="666">
        <v>1</v>
      </c>
      <c r="AF17" s="666">
        <v>39</v>
      </c>
      <c r="AG17" s="136"/>
    </row>
    <row r="18" spans="1:33" ht="18.75" customHeight="1" x14ac:dyDescent="0.15">
      <c r="A18" s="972" t="s">
        <v>253</v>
      </c>
      <c r="B18" s="546">
        <f>SUM(N13:P13)</f>
        <v>27</v>
      </c>
      <c r="C18" s="546">
        <f>SUM(Q13:R13)</f>
        <v>31</v>
      </c>
      <c r="D18" s="546">
        <f>SUM(S13:V13)</f>
        <v>27</v>
      </c>
      <c r="E18" s="546">
        <f>SUM(W13:Y13)</f>
        <v>37</v>
      </c>
      <c r="F18" s="546">
        <f>SUM(Z13:AA13)</f>
        <v>35</v>
      </c>
      <c r="G18" s="546">
        <f>SUM(AB13:AD13)</f>
        <v>55</v>
      </c>
      <c r="H18" s="546">
        <f>AE13</f>
        <v>26</v>
      </c>
      <c r="I18" s="546">
        <f>AF13</f>
        <v>34</v>
      </c>
      <c r="J18" s="547">
        <f>SUM(B18:I18)</f>
        <v>272</v>
      </c>
      <c r="K18" s="8"/>
      <c r="M18" s="665" t="s">
        <v>297</v>
      </c>
      <c r="N18" s="666"/>
      <c r="O18" s="666">
        <v>1</v>
      </c>
      <c r="P18" s="666">
        <v>6</v>
      </c>
      <c r="Q18" s="666">
        <v>3</v>
      </c>
      <c r="R18" s="666">
        <v>1</v>
      </c>
      <c r="S18" s="666">
        <v>5</v>
      </c>
      <c r="T18" s="666">
        <v>3</v>
      </c>
      <c r="U18" s="666"/>
      <c r="V18" s="666"/>
      <c r="W18" s="666">
        <v>3</v>
      </c>
      <c r="X18" s="666"/>
      <c r="Y18" s="666"/>
      <c r="Z18" s="666"/>
      <c r="AA18" s="666">
        <v>2</v>
      </c>
      <c r="AB18" s="666"/>
      <c r="AC18" s="666">
        <v>2</v>
      </c>
      <c r="AD18" s="666">
        <v>1</v>
      </c>
      <c r="AE18" s="666">
        <v>3</v>
      </c>
      <c r="AF18" s="666">
        <v>13</v>
      </c>
      <c r="AG18" s="136"/>
    </row>
    <row r="19" spans="1:33" ht="18.75" customHeight="1" x14ac:dyDescent="0.15">
      <c r="A19" s="973"/>
      <c r="B19" s="549">
        <f>B18/B$34</f>
        <v>1.6033254156769598E-2</v>
      </c>
      <c r="C19" s="549">
        <f t="shared" ref="C19:J19" si="8">C18/C$34</f>
        <v>1.5515515515515516E-2</v>
      </c>
      <c r="D19" s="549">
        <f t="shared" si="8"/>
        <v>2.0164301717699777E-2</v>
      </c>
      <c r="E19" s="549">
        <f t="shared" si="8"/>
        <v>2.9042386185243328E-2</v>
      </c>
      <c r="F19" s="549">
        <f t="shared" si="8"/>
        <v>2.8524857375713121E-2</v>
      </c>
      <c r="G19" s="549">
        <f t="shared" si="8"/>
        <v>1.0514242018734467E-2</v>
      </c>
      <c r="H19" s="549">
        <f t="shared" si="8"/>
        <v>0.16149068322981366</v>
      </c>
      <c r="I19" s="549">
        <f t="shared" si="8"/>
        <v>1.6361886429258902E-2</v>
      </c>
      <c r="J19" s="549">
        <f t="shared" si="8"/>
        <v>1.8143009605122731E-2</v>
      </c>
      <c r="K19" s="557"/>
      <c r="M19" s="665" t="s">
        <v>294</v>
      </c>
      <c r="N19" s="666">
        <v>1</v>
      </c>
      <c r="O19" s="666">
        <v>5</v>
      </c>
      <c r="P19" s="666">
        <v>1</v>
      </c>
      <c r="Q19" s="666">
        <v>3</v>
      </c>
      <c r="R19" s="666">
        <v>3</v>
      </c>
      <c r="S19" s="666">
        <v>1</v>
      </c>
      <c r="T19" s="666"/>
      <c r="U19" s="666"/>
      <c r="V19" s="666"/>
      <c r="W19" s="666">
        <v>2</v>
      </c>
      <c r="X19" s="666">
        <v>5</v>
      </c>
      <c r="Y19" s="666">
        <v>3</v>
      </c>
      <c r="Z19" s="666">
        <v>1</v>
      </c>
      <c r="AA19" s="666"/>
      <c r="AB19" s="666">
        <v>2</v>
      </c>
      <c r="AC19" s="666">
        <v>11</v>
      </c>
      <c r="AD19" s="666">
        <v>5</v>
      </c>
      <c r="AE19" s="666"/>
      <c r="AF19" s="666">
        <v>5</v>
      </c>
      <c r="AG19" s="136"/>
    </row>
    <row r="20" spans="1:33" ht="18.75" customHeight="1" x14ac:dyDescent="0.15">
      <c r="A20" s="972" t="s">
        <v>254</v>
      </c>
      <c r="B20" s="546">
        <f>SUM(N14:P14)</f>
        <v>0</v>
      </c>
      <c r="C20" s="546">
        <f>SUM(Q14:R14)</f>
        <v>3</v>
      </c>
      <c r="D20" s="546">
        <f>SUM(S14:V14)</f>
        <v>1</v>
      </c>
      <c r="E20" s="546">
        <f>SUM(W14:Y14)</f>
        <v>0</v>
      </c>
      <c r="F20" s="546">
        <f>SUM(Z14:AA14)</f>
        <v>3</v>
      </c>
      <c r="G20" s="546">
        <f>SUM(AB14:AD14)</f>
        <v>4</v>
      </c>
      <c r="H20" s="546">
        <f>AE14</f>
        <v>17</v>
      </c>
      <c r="I20" s="546">
        <f>AF14</f>
        <v>5</v>
      </c>
      <c r="J20" s="547">
        <f>SUM(B20:I20)</f>
        <v>33</v>
      </c>
      <c r="K20" s="8"/>
      <c r="M20" s="665" t="s">
        <v>18</v>
      </c>
      <c r="N20" s="666">
        <v>5</v>
      </c>
      <c r="O20" s="666">
        <v>4</v>
      </c>
      <c r="P20" s="666">
        <v>1</v>
      </c>
      <c r="Q20" s="666">
        <v>51</v>
      </c>
      <c r="R20" s="666">
        <v>2</v>
      </c>
      <c r="S20" s="666">
        <v>15</v>
      </c>
      <c r="T20" s="666"/>
      <c r="U20" s="666">
        <v>5</v>
      </c>
      <c r="V20" s="666">
        <v>1</v>
      </c>
      <c r="W20" s="666">
        <v>10</v>
      </c>
      <c r="X20" s="666">
        <v>12</v>
      </c>
      <c r="Y20" s="666"/>
      <c r="Z20" s="666"/>
      <c r="AA20" s="666">
        <v>9</v>
      </c>
      <c r="AB20" s="666">
        <v>10</v>
      </c>
      <c r="AC20" s="666">
        <v>28</v>
      </c>
      <c r="AD20" s="666">
        <v>10</v>
      </c>
      <c r="AE20" s="666"/>
      <c r="AF20" s="666">
        <v>15</v>
      </c>
      <c r="AG20" s="136"/>
    </row>
    <row r="21" spans="1:33" ht="18.75" customHeight="1" x14ac:dyDescent="0.15">
      <c r="A21" s="973"/>
      <c r="B21" s="549">
        <f>B20/B$34</f>
        <v>0</v>
      </c>
      <c r="C21" s="549">
        <f t="shared" ref="C21:J21" si="9">C20/C$34</f>
        <v>1.5015015015015015E-3</v>
      </c>
      <c r="D21" s="549">
        <f t="shared" si="9"/>
        <v>7.468259895444362E-4</v>
      </c>
      <c r="E21" s="549">
        <f t="shared" si="9"/>
        <v>0</v>
      </c>
      <c r="F21" s="549">
        <f t="shared" si="9"/>
        <v>2.4449877750611247E-3</v>
      </c>
      <c r="G21" s="549">
        <f t="shared" si="9"/>
        <v>7.6467214681705221E-4</v>
      </c>
      <c r="H21" s="549">
        <f t="shared" si="9"/>
        <v>0.10559006211180125</v>
      </c>
      <c r="I21" s="549">
        <f t="shared" si="9"/>
        <v>2.406159769008662E-3</v>
      </c>
      <c r="J21" s="549">
        <f t="shared" si="9"/>
        <v>2.2011739594450372E-3</v>
      </c>
      <c r="K21" s="557"/>
      <c r="M21" s="136" t="s">
        <v>375</v>
      </c>
      <c r="N21" s="666"/>
      <c r="O21" s="666"/>
      <c r="P21" s="666"/>
      <c r="Q21" s="666"/>
      <c r="R21" s="666"/>
      <c r="S21" s="666"/>
      <c r="T21" s="666"/>
      <c r="U21" s="666"/>
      <c r="V21" s="666"/>
      <c r="W21" s="666"/>
      <c r="X21" s="666"/>
      <c r="Y21" s="666">
        <v>1</v>
      </c>
      <c r="Z21" s="666"/>
      <c r="AA21" s="666"/>
      <c r="AB21" s="666"/>
      <c r="AC21" s="666"/>
      <c r="AD21" s="666"/>
      <c r="AE21" s="666"/>
      <c r="AF21" s="666"/>
      <c r="AG21" s="136"/>
    </row>
    <row r="22" spans="1:33" ht="18.75" customHeight="1" x14ac:dyDescent="0.15">
      <c r="A22" s="972" t="s">
        <v>412</v>
      </c>
      <c r="B22" s="546">
        <f>SUM(N15:P15)</f>
        <v>2</v>
      </c>
      <c r="C22" s="546">
        <f>SUM(Q15:R15)</f>
        <v>8</v>
      </c>
      <c r="D22" s="546">
        <f>SUM(S15:V15)</f>
        <v>4</v>
      </c>
      <c r="E22" s="546">
        <f>SUM(W15:Y15)</f>
        <v>6</v>
      </c>
      <c r="F22" s="546">
        <f>SUM(Z15:AA15)</f>
        <v>8</v>
      </c>
      <c r="G22" s="546">
        <f>SUM(AB15:AD15)</f>
        <v>19</v>
      </c>
      <c r="H22" s="546">
        <f>AE15</f>
        <v>0</v>
      </c>
      <c r="I22" s="546">
        <f>AF15</f>
        <v>7</v>
      </c>
      <c r="J22" s="547">
        <f>SUM(B22:I22)</f>
        <v>54</v>
      </c>
      <c r="K22" s="8"/>
      <c r="M22" s="665" t="s">
        <v>385</v>
      </c>
      <c r="N22" s="666"/>
      <c r="O22" s="666"/>
      <c r="P22" s="666"/>
      <c r="Q22" s="666"/>
      <c r="R22" s="666"/>
      <c r="S22" s="666"/>
      <c r="T22" s="666"/>
      <c r="U22" s="666"/>
      <c r="V22" s="666"/>
      <c r="W22" s="666"/>
      <c r="X22" s="666"/>
      <c r="Y22" s="666"/>
      <c r="Z22" s="666"/>
      <c r="AA22" s="666"/>
      <c r="AB22" s="666"/>
      <c r="AC22" s="666"/>
      <c r="AD22" s="666"/>
      <c r="AE22" s="666"/>
      <c r="AF22" s="666"/>
      <c r="AG22" s="136"/>
    </row>
    <row r="23" spans="1:33" ht="18.75" customHeight="1" x14ac:dyDescent="0.15">
      <c r="A23" s="973"/>
      <c r="B23" s="549">
        <f>B22/B$34</f>
        <v>1.1876484560570072E-3</v>
      </c>
      <c r="C23" s="549">
        <f t="shared" ref="C23:J23" si="10">C22/C$34</f>
        <v>4.004004004004004E-3</v>
      </c>
      <c r="D23" s="549">
        <f t="shared" si="10"/>
        <v>2.9873039581777448E-3</v>
      </c>
      <c r="E23" s="549">
        <f t="shared" si="10"/>
        <v>4.7095761381475663E-3</v>
      </c>
      <c r="F23" s="549">
        <f t="shared" si="10"/>
        <v>6.5199674001629989E-3</v>
      </c>
      <c r="G23" s="549">
        <f t="shared" si="10"/>
        <v>3.6321926973809978E-3</v>
      </c>
      <c r="H23" s="549">
        <f t="shared" si="10"/>
        <v>0</v>
      </c>
      <c r="I23" s="549">
        <f t="shared" si="10"/>
        <v>3.3686236766121268E-3</v>
      </c>
      <c r="J23" s="549">
        <f t="shared" si="10"/>
        <v>3.6019210245464249E-3</v>
      </c>
      <c r="K23" s="557"/>
    </row>
    <row r="24" spans="1:33" ht="18.75" customHeight="1" x14ac:dyDescent="0.15">
      <c r="A24" s="972" t="s">
        <v>413</v>
      </c>
      <c r="B24" s="546">
        <f>SUM(N16:P16)</f>
        <v>24</v>
      </c>
      <c r="C24" s="546">
        <f>SUM(Q16:R16)</f>
        <v>37</v>
      </c>
      <c r="D24" s="546">
        <f>SUM(S16:V16)</f>
        <v>23</v>
      </c>
      <c r="E24" s="546">
        <f>SUM(W16:Y16)</f>
        <v>17</v>
      </c>
      <c r="F24" s="546">
        <f>SUM(Z16:AA16)</f>
        <v>15</v>
      </c>
      <c r="G24" s="546">
        <f>SUM(AB16:AD16)</f>
        <v>130</v>
      </c>
      <c r="H24" s="546">
        <f>AE16</f>
        <v>2</v>
      </c>
      <c r="I24" s="546">
        <f>AF16</f>
        <v>40</v>
      </c>
      <c r="J24" s="547">
        <f>SUM(B24:I24)</f>
        <v>288</v>
      </c>
      <c r="K24" s="8"/>
    </row>
    <row r="25" spans="1:33" ht="18.75" customHeight="1" x14ac:dyDescent="0.15">
      <c r="A25" s="973"/>
      <c r="B25" s="549">
        <f>B24/B$34</f>
        <v>1.4251781472684086E-2</v>
      </c>
      <c r="C25" s="549">
        <f t="shared" ref="C25:J25" si="11">C24/C$34</f>
        <v>1.8518518518518517E-2</v>
      </c>
      <c r="D25" s="549">
        <f t="shared" si="11"/>
        <v>1.7176997759522031E-2</v>
      </c>
      <c r="E25" s="549">
        <f t="shared" si="11"/>
        <v>1.3343799058084773E-2</v>
      </c>
      <c r="F25" s="549">
        <f t="shared" si="11"/>
        <v>1.2224938875305624E-2</v>
      </c>
      <c r="G25" s="549">
        <f t="shared" si="11"/>
        <v>2.4851844771554197E-2</v>
      </c>
      <c r="H25" s="549">
        <f t="shared" si="11"/>
        <v>1.2422360248447204E-2</v>
      </c>
      <c r="I25" s="549">
        <f t="shared" si="11"/>
        <v>1.9249278152069296E-2</v>
      </c>
      <c r="J25" s="549">
        <f t="shared" si="11"/>
        <v>1.9210245464247599E-2</v>
      </c>
      <c r="K25" s="557"/>
    </row>
    <row r="26" spans="1:33" ht="18.75" customHeight="1" x14ac:dyDescent="0.15">
      <c r="A26" s="972" t="s">
        <v>83</v>
      </c>
      <c r="B26" s="546">
        <f>SUM(N17:P17)</f>
        <v>11</v>
      </c>
      <c r="C26" s="546">
        <f>SUM(Q17:R17)</f>
        <v>18</v>
      </c>
      <c r="D26" s="546">
        <f>SUM(S17:V17)</f>
        <v>32</v>
      </c>
      <c r="E26" s="546">
        <f>SUM(W17:Y17)</f>
        <v>19</v>
      </c>
      <c r="F26" s="546">
        <f>SUM(Z17:AA17)</f>
        <v>8</v>
      </c>
      <c r="G26" s="546">
        <f>SUM(AB17:AD17)</f>
        <v>37</v>
      </c>
      <c r="H26" s="546">
        <f>AE17</f>
        <v>1</v>
      </c>
      <c r="I26" s="546">
        <f>AF17</f>
        <v>39</v>
      </c>
      <c r="J26" s="547">
        <f>SUM(B26:I26)</f>
        <v>165</v>
      </c>
      <c r="K26" s="8"/>
    </row>
    <row r="27" spans="1:33" ht="18.75" customHeight="1" x14ac:dyDescent="0.15">
      <c r="A27" s="973"/>
      <c r="B27" s="549">
        <f>B26/B$34</f>
        <v>6.5320665083135393E-3</v>
      </c>
      <c r="C27" s="549">
        <f t="shared" ref="C27:J27" si="12">C26/C$34</f>
        <v>9.0090090090090089E-3</v>
      </c>
      <c r="D27" s="549">
        <f t="shared" si="12"/>
        <v>2.3898431665421958E-2</v>
      </c>
      <c r="E27" s="549">
        <f t="shared" si="12"/>
        <v>1.4913657770800628E-2</v>
      </c>
      <c r="F27" s="549">
        <f t="shared" si="12"/>
        <v>6.5199674001629989E-3</v>
      </c>
      <c r="G27" s="549">
        <f t="shared" si="12"/>
        <v>7.0732173580577325E-3</v>
      </c>
      <c r="H27" s="549">
        <f t="shared" si="12"/>
        <v>6.2111801242236021E-3</v>
      </c>
      <c r="I27" s="549">
        <f t="shared" si="12"/>
        <v>1.8768046198267566E-2</v>
      </c>
      <c r="J27" s="549">
        <f t="shared" si="12"/>
        <v>1.1005869797225187E-2</v>
      </c>
      <c r="K27" s="557"/>
    </row>
    <row r="28" spans="1:33" ht="18.75" customHeight="1" x14ac:dyDescent="0.15">
      <c r="A28" s="972" t="s">
        <v>414</v>
      </c>
      <c r="B28" s="546">
        <f>SUM(N18:P18)</f>
        <v>7</v>
      </c>
      <c r="C28" s="546">
        <f>SUM(Q18:R18)</f>
        <v>4</v>
      </c>
      <c r="D28" s="546">
        <f>SUM(S18:V18)</f>
        <v>8</v>
      </c>
      <c r="E28" s="546">
        <f>SUM(W18:Y18)</f>
        <v>3</v>
      </c>
      <c r="F28" s="546">
        <f>SUM(Z18:AA18)</f>
        <v>2</v>
      </c>
      <c r="G28" s="546">
        <f>SUM(AB18:AD18)</f>
        <v>3</v>
      </c>
      <c r="H28" s="546">
        <f>AE18</f>
        <v>3</v>
      </c>
      <c r="I28" s="546">
        <f>AF18</f>
        <v>13</v>
      </c>
      <c r="J28" s="547">
        <f>SUM(B28:I28)</f>
        <v>43</v>
      </c>
      <c r="K28" s="8"/>
    </row>
    <row r="29" spans="1:33" ht="26.25" customHeight="1" x14ac:dyDescent="0.15">
      <c r="A29" s="973"/>
      <c r="B29" s="549">
        <f>B28/B$34</f>
        <v>4.1567695961995249E-3</v>
      </c>
      <c r="C29" s="549">
        <f t="shared" ref="C29:J29" si="13">C28/C$34</f>
        <v>2.002002002002002E-3</v>
      </c>
      <c r="D29" s="549">
        <f t="shared" si="13"/>
        <v>5.9746079163554896E-3</v>
      </c>
      <c r="E29" s="549">
        <f t="shared" si="13"/>
        <v>2.3547880690737832E-3</v>
      </c>
      <c r="F29" s="549">
        <f t="shared" si="13"/>
        <v>1.6299918500407497E-3</v>
      </c>
      <c r="G29" s="549">
        <f t="shared" si="13"/>
        <v>5.7350411011278918E-4</v>
      </c>
      <c r="H29" s="549">
        <f t="shared" si="13"/>
        <v>1.8633540372670808E-2</v>
      </c>
      <c r="I29" s="549">
        <f t="shared" si="13"/>
        <v>6.2560153994225213E-3</v>
      </c>
      <c r="J29" s="549">
        <f t="shared" si="13"/>
        <v>2.8681963713980789E-3</v>
      </c>
      <c r="K29" s="557"/>
    </row>
    <row r="30" spans="1:33" ht="18.75" customHeight="1" x14ac:dyDescent="0.15">
      <c r="A30" s="972" t="s">
        <v>123</v>
      </c>
      <c r="B30" s="546">
        <f>SUM(N19:P19)</f>
        <v>7</v>
      </c>
      <c r="C30" s="546">
        <f>SUM(Q19:R19)</f>
        <v>6</v>
      </c>
      <c r="D30" s="546">
        <f>SUM(S19:V19)</f>
        <v>1</v>
      </c>
      <c r="E30" s="546">
        <f>SUM(W19:Y19)</f>
        <v>10</v>
      </c>
      <c r="F30" s="546">
        <f>SUM(Z19:AA19)</f>
        <v>1</v>
      </c>
      <c r="G30" s="546">
        <f>SUM(AB19:AD19)</f>
        <v>18</v>
      </c>
      <c r="H30" s="546">
        <f>AE19</f>
        <v>0</v>
      </c>
      <c r="I30" s="546">
        <f>AF19</f>
        <v>5</v>
      </c>
      <c r="J30" s="547">
        <f>SUM(B30:I30)</f>
        <v>48</v>
      </c>
      <c r="K30" s="8"/>
    </row>
    <row r="31" spans="1:33" ht="18.75" customHeight="1" x14ac:dyDescent="0.15">
      <c r="A31" s="973"/>
      <c r="B31" s="549">
        <f t="shared" ref="B31:I31" si="14">B30/B$34</f>
        <v>4.1567695961995249E-3</v>
      </c>
      <c r="C31" s="549">
        <f t="shared" si="14"/>
        <v>3.003003003003003E-3</v>
      </c>
      <c r="D31" s="549">
        <f t="shared" si="14"/>
        <v>7.468259895444362E-4</v>
      </c>
      <c r="E31" s="549">
        <f t="shared" si="14"/>
        <v>7.8492935635792772E-3</v>
      </c>
      <c r="F31" s="549">
        <f t="shared" si="14"/>
        <v>8.1499592502037486E-4</v>
      </c>
      <c r="G31" s="549">
        <f t="shared" si="14"/>
        <v>3.4410246606767347E-3</v>
      </c>
      <c r="H31" s="549">
        <f t="shared" si="14"/>
        <v>0</v>
      </c>
      <c r="I31" s="549">
        <f t="shared" si="14"/>
        <v>2.406159769008662E-3</v>
      </c>
      <c r="J31" s="549">
        <f t="shared" ref="J31" si="15">J30/J$34</f>
        <v>3.2017075773745998E-3</v>
      </c>
      <c r="K31" s="557"/>
    </row>
    <row r="32" spans="1:33" ht="18.75" customHeight="1" x14ac:dyDescent="0.15">
      <c r="A32" s="972" t="s">
        <v>584</v>
      </c>
      <c r="B32" s="546">
        <f>SUM(N20:P21)</f>
        <v>10</v>
      </c>
      <c r="C32" s="546">
        <f>SUM(Q20:R21)</f>
        <v>53</v>
      </c>
      <c r="D32" s="546">
        <f>SUM(S20:V21)</f>
        <v>21</v>
      </c>
      <c r="E32" s="546">
        <f>SUM(W20:Y21)</f>
        <v>23</v>
      </c>
      <c r="F32" s="546">
        <f>SUM(Z20:AA21)</f>
        <v>9</v>
      </c>
      <c r="G32" s="546">
        <f>SUM(AB20:AD21)</f>
        <v>48</v>
      </c>
      <c r="H32" s="546">
        <f>SUM(AE20:AE21)</f>
        <v>0</v>
      </c>
      <c r="I32" s="546">
        <f>SUM(AF20:AF21)</f>
        <v>15</v>
      </c>
      <c r="J32" s="547">
        <f>SUM(B32:I32)</f>
        <v>179</v>
      </c>
      <c r="K32" s="8"/>
    </row>
    <row r="33" spans="1:34" ht="18.75" customHeight="1" x14ac:dyDescent="0.15">
      <c r="A33" s="973"/>
      <c r="B33" s="549">
        <f t="shared" ref="B33:I33" si="16">B32/B$34</f>
        <v>5.9382422802850355E-3</v>
      </c>
      <c r="C33" s="549">
        <f t="shared" si="16"/>
        <v>2.6526526526526525E-2</v>
      </c>
      <c r="D33" s="549">
        <f t="shared" si="16"/>
        <v>1.568334578043316E-2</v>
      </c>
      <c r="E33" s="549">
        <f t="shared" si="16"/>
        <v>1.8053375196232339E-2</v>
      </c>
      <c r="F33" s="549">
        <f t="shared" si="16"/>
        <v>7.3349633251833741E-3</v>
      </c>
      <c r="G33" s="549">
        <f t="shared" si="16"/>
        <v>9.1760657618046269E-3</v>
      </c>
      <c r="H33" s="549">
        <f t="shared" si="16"/>
        <v>0</v>
      </c>
      <c r="I33" s="549">
        <f t="shared" si="16"/>
        <v>7.2184793070259861E-3</v>
      </c>
      <c r="J33" s="549">
        <f t="shared" ref="J33" si="17">J32/J$34</f>
        <v>1.1939701173959445E-2</v>
      </c>
      <c r="K33" s="557"/>
    </row>
    <row r="34" spans="1:34" ht="18.75" customHeight="1" x14ac:dyDescent="0.15">
      <c r="A34" s="971" t="s">
        <v>161</v>
      </c>
      <c r="B34" s="550">
        <f t="shared" ref="B34:I34" si="18">B4+B12+B14+B16+B18+B20+B22+B24+B26+B28+B30+B32</f>
        <v>1684</v>
      </c>
      <c r="C34" s="550">
        <f t="shared" si="18"/>
        <v>1998</v>
      </c>
      <c r="D34" s="550">
        <f t="shared" si="18"/>
        <v>1339</v>
      </c>
      <c r="E34" s="550">
        <f t="shared" si="18"/>
        <v>1274</v>
      </c>
      <c r="F34" s="550">
        <f t="shared" si="18"/>
        <v>1227</v>
      </c>
      <c r="G34" s="550">
        <f t="shared" si="18"/>
        <v>5231</v>
      </c>
      <c r="H34" s="550">
        <f t="shared" si="18"/>
        <v>161</v>
      </c>
      <c r="I34" s="550">
        <f t="shared" si="18"/>
        <v>2078</v>
      </c>
      <c r="J34" s="550">
        <f>J4+J12+J14+J16+J18+J20+J22+J24+J26+J28+J30+J32</f>
        <v>14992</v>
      </c>
      <c r="K34" s="560"/>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3"/>
    </row>
    <row r="35" spans="1:34" ht="18.75" customHeight="1" x14ac:dyDescent="0.15">
      <c r="A35" s="969"/>
      <c r="B35" s="552">
        <f>SUM(B7,B9,B11,B13,B15,B17,B19,B21,B23,B25,B27,B29,B31,B33)</f>
        <v>1</v>
      </c>
      <c r="C35" s="552">
        <f t="shared" ref="C35:J35" si="19">SUM(C7,C9,C11,C13,C15,C17,C19,C21,C23,C25,C27,C29,C31,C33)</f>
        <v>1</v>
      </c>
      <c r="D35" s="552">
        <f t="shared" si="19"/>
        <v>1</v>
      </c>
      <c r="E35" s="552">
        <f t="shared" si="19"/>
        <v>1</v>
      </c>
      <c r="F35" s="552">
        <f t="shared" si="19"/>
        <v>0.99999999999999989</v>
      </c>
      <c r="G35" s="552">
        <f t="shared" si="19"/>
        <v>1</v>
      </c>
      <c r="H35" s="552">
        <f t="shared" si="19"/>
        <v>1</v>
      </c>
      <c r="I35" s="552">
        <f t="shared" si="19"/>
        <v>1.0000000000000002</v>
      </c>
      <c r="J35" s="552">
        <f t="shared" si="19"/>
        <v>1</v>
      </c>
      <c r="K35" s="561"/>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row>
    <row r="38" spans="1:34" x14ac:dyDescent="0.15">
      <c r="A38" s="373"/>
      <c r="B38" s="373"/>
      <c r="C38" s="373"/>
      <c r="D38" s="373"/>
      <c r="E38" s="373"/>
      <c r="F38" s="373"/>
      <c r="G38" s="373"/>
      <c r="H38" s="373"/>
      <c r="I38" s="373"/>
      <c r="J38" s="373"/>
      <c r="K38" s="373"/>
      <c r="L38" s="373"/>
      <c r="M38" s="373"/>
      <c r="N38" s="373"/>
      <c r="O38" s="373"/>
      <c r="P38" s="373"/>
      <c r="Q38" s="373"/>
    </row>
    <row r="39" spans="1:34" x14ac:dyDescent="0.15">
      <c r="A39" s="53"/>
    </row>
    <row r="40" spans="1:34" x14ac:dyDescent="0.15">
      <c r="A40" s="53"/>
    </row>
    <row r="41" spans="1:34" x14ac:dyDescent="0.15">
      <c r="A41" s="53"/>
    </row>
    <row r="42" spans="1:34" x14ac:dyDescent="0.15">
      <c r="A42" s="53"/>
    </row>
    <row r="43" spans="1:34" x14ac:dyDescent="0.15">
      <c r="A43" s="53"/>
    </row>
    <row r="44" spans="1:34" x14ac:dyDescent="0.15">
      <c r="A44" s="53"/>
    </row>
    <row r="45" spans="1:34" x14ac:dyDescent="0.15">
      <c r="A45" s="53"/>
    </row>
    <row r="46" spans="1:34" x14ac:dyDescent="0.15">
      <c r="A46" s="53"/>
    </row>
    <row r="47" spans="1:34" x14ac:dyDescent="0.15">
      <c r="A47" s="53"/>
    </row>
    <row r="48" spans="1:34" x14ac:dyDescent="0.15">
      <c r="A48" s="53"/>
    </row>
    <row r="49" spans="1:5" x14ac:dyDescent="0.15">
      <c r="A49" s="53"/>
    </row>
    <row r="50" spans="1:5" x14ac:dyDescent="0.15">
      <c r="A50" s="53"/>
    </row>
    <row r="51" spans="1:5" x14ac:dyDescent="0.15">
      <c r="A51" s="53"/>
    </row>
    <row r="52" spans="1:5" x14ac:dyDescent="0.15">
      <c r="A52" s="53"/>
    </row>
    <row r="53" spans="1:5" x14ac:dyDescent="0.15">
      <c r="A53" s="53"/>
      <c r="B53" s="562"/>
      <c r="C53" s="562"/>
      <c r="D53" s="562"/>
      <c r="E53" s="562"/>
    </row>
    <row r="54" spans="1:5" x14ac:dyDescent="0.15">
      <c r="A54" s="42"/>
      <c r="B54" s="562"/>
      <c r="C54" s="562"/>
      <c r="D54" s="562"/>
      <c r="E54" s="562"/>
    </row>
    <row r="55" spans="1:5" x14ac:dyDescent="0.15">
      <c r="A55" s="53"/>
    </row>
  </sheetData>
  <mergeCells count="16">
    <mergeCell ref="A28:A29"/>
    <mergeCell ref="A30:A31"/>
    <mergeCell ref="A32:A33"/>
    <mergeCell ref="A34:A35"/>
    <mergeCell ref="A16:A17"/>
    <mergeCell ref="A18:A19"/>
    <mergeCell ref="A20:A21"/>
    <mergeCell ref="A22:A23"/>
    <mergeCell ref="A24:A25"/>
    <mergeCell ref="A26:A27"/>
    <mergeCell ref="A14:A15"/>
    <mergeCell ref="A4:A5"/>
    <mergeCell ref="A6:A7"/>
    <mergeCell ref="A8:A9"/>
    <mergeCell ref="A10:A11"/>
    <mergeCell ref="A12:A13"/>
  </mergeCells>
  <phoneticPr fontId="2"/>
  <printOptions horizontalCentered="1"/>
  <pageMargins left="0.70866141732283472" right="0.70866141732283472" top="0.74803149606299213" bottom="0.74803149606299213"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Button 1">
              <controlPr defaultSize="0" print="0" autoFill="0" autoPict="0" macro="[0]!データ削除_疾患名区分病院所在地">
                <anchor moveWithCells="1" sizeWithCells="1">
                  <from>
                    <xdr:col>33</xdr:col>
                    <xdr:colOff>190500</xdr:colOff>
                    <xdr:row>3</xdr:row>
                    <xdr:rowOff>228600</xdr:rowOff>
                  </from>
                  <to>
                    <xdr:col>34</xdr:col>
                    <xdr:colOff>657225</xdr:colOff>
                    <xdr:row>6</xdr:row>
                    <xdr:rowOff>95250</xdr:rowOff>
                  </to>
                </anchor>
              </controlPr>
            </control>
          </mc:Choice>
        </mc:AlternateContent>
      </controls>
    </mc:Choice>
  </mc:AlternateContent>
  <tableParts count="1">
    <tablePart r:id="rId5"/>
  </tableParts>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5">
    <tabColor theme="9" tint="-0.499984740745262"/>
    <pageSetUpPr fitToPage="1"/>
  </sheetPr>
  <dimension ref="A1:AH47"/>
  <sheetViews>
    <sheetView showGridLines="0" view="pageBreakPreview" zoomScale="70" zoomScaleNormal="90" zoomScaleSheetLayoutView="70" zoomScalePageLayoutView="70" workbookViewId="0">
      <selection activeCell="L1" sqref="L1:AH1048576"/>
    </sheetView>
  </sheetViews>
  <sheetFormatPr defaultColWidth="13.75" defaultRowHeight="18.75" x14ac:dyDescent="0.15"/>
  <cols>
    <col min="1" max="1" width="15.625" style="537" customWidth="1"/>
    <col min="2" max="10" width="8.75" style="537" customWidth="1"/>
    <col min="11" max="11" width="7.625" style="537" customWidth="1"/>
    <col min="12" max="13" width="7.625" style="537" hidden="1" customWidth="1"/>
    <col min="14" max="14" width="10" style="537" hidden="1" customWidth="1"/>
    <col min="15" max="33" width="10.5" style="537" hidden="1" customWidth="1"/>
    <col min="34" max="34" width="13.75" style="537" hidden="1" customWidth="1"/>
    <col min="35" max="16384" width="13.75" style="537"/>
  </cols>
  <sheetData>
    <row r="1" spans="1:33" s="3" customFormat="1" ht="19.5" x14ac:dyDescent="0.15">
      <c r="A1" s="2" t="s">
        <v>415</v>
      </c>
    </row>
    <row r="2" spans="1:33" ht="19.5" thickBot="1" x14ac:dyDescent="0.2">
      <c r="A2" s="4"/>
    </row>
    <row r="3" spans="1:33" ht="18.75" customHeight="1" thickTop="1" thickBot="1" x14ac:dyDescent="0.2">
      <c r="A3" s="545"/>
      <c r="B3" s="545" t="s">
        <v>387</v>
      </c>
      <c r="C3" s="545" t="s">
        <v>388</v>
      </c>
      <c r="D3" s="545" t="s">
        <v>389</v>
      </c>
      <c r="E3" s="545" t="s">
        <v>390</v>
      </c>
      <c r="F3" s="545" t="s">
        <v>391</v>
      </c>
      <c r="G3" s="545" t="s">
        <v>392</v>
      </c>
      <c r="H3" s="545" t="s">
        <v>393</v>
      </c>
      <c r="I3" s="545" t="s">
        <v>394</v>
      </c>
      <c r="J3" s="545" t="s">
        <v>62</v>
      </c>
      <c r="M3" s="727" t="s">
        <v>373</v>
      </c>
      <c r="N3" s="373" t="s">
        <v>395</v>
      </c>
      <c r="O3" s="373" t="s">
        <v>396</v>
      </c>
      <c r="P3" s="373" t="s">
        <v>397</v>
      </c>
      <c r="Q3" s="373" t="s">
        <v>398</v>
      </c>
      <c r="R3" s="373" t="s">
        <v>399</v>
      </c>
      <c r="S3" s="373" t="s">
        <v>400</v>
      </c>
      <c r="T3" s="373" t="s">
        <v>401</v>
      </c>
      <c r="U3" s="373" t="s">
        <v>402</v>
      </c>
      <c r="V3" s="373" t="s">
        <v>403</v>
      </c>
      <c r="W3" s="373" t="s">
        <v>404</v>
      </c>
      <c r="X3" s="373" t="s">
        <v>565</v>
      </c>
      <c r="Y3" s="373" t="s">
        <v>566</v>
      </c>
      <c r="Z3" s="373" t="s">
        <v>567</v>
      </c>
      <c r="AA3" s="373" t="s">
        <v>568</v>
      </c>
      <c r="AB3" s="373" t="s">
        <v>569</v>
      </c>
      <c r="AC3" s="373" t="s">
        <v>570</v>
      </c>
      <c r="AD3" s="373" t="s">
        <v>571</v>
      </c>
      <c r="AE3" s="373" t="s">
        <v>572</v>
      </c>
      <c r="AF3" s="537" t="s">
        <v>573</v>
      </c>
      <c r="AG3" s="373" t="s">
        <v>607</v>
      </c>
    </row>
    <row r="4" spans="1:33" s="21" customFormat="1" ht="18.75" customHeight="1" thickTop="1" x14ac:dyDescent="0.15">
      <c r="A4" s="976" t="s">
        <v>60</v>
      </c>
      <c r="B4" s="546">
        <f>SUM(N4:P4)</f>
        <v>205</v>
      </c>
      <c r="C4" s="546">
        <f>SUM(Q4:R4)</f>
        <v>224</v>
      </c>
      <c r="D4" s="546">
        <f>SUM(S4:V4)</f>
        <v>186</v>
      </c>
      <c r="E4" s="546">
        <f>SUM(W4:Y4)</f>
        <v>198</v>
      </c>
      <c r="F4" s="546">
        <f>SUM(Z4:AA4)</f>
        <v>123</v>
      </c>
      <c r="G4" s="546">
        <f>SUM(AB4:AD4)</f>
        <v>398</v>
      </c>
      <c r="H4" s="546">
        <f>AE4</f>
        <v>88</v>
      </c>
      <c r="I4" s="546">
        <f>AF4</f>
        <v>290</v>
      </c>
      <c r="J4" s="547">
        <f>SUM(B4:I4)</f>
        <v>1712</v>
      </c>
      <c r="M4" s="53" t="s">
        <v>182</v>
      </c>
      <c r="N4" s="568">
        <v>29</v>
      </c>
      <c r="O4" s="568">
        <v>147</v>
      </c>
      <c r="P4" s="568">
        <v>29</v>
      </c>
      <c r="Q4" s="568">
        <v>118</v>
      </c>
      <c r="R4" s="568">
        <v>106</v>
      </c>
      <c r="S4" s="568">
        <v>115</v>
      </c>
      <c r="T4" s="568">
        <v>33</v>
      </c>
      <c r="U4" s="568">
        <v>23</v>
      </c>
      <c r="V4" s="568">
        <v>15</v>
      </c>
      <c r="W4" s="568">
        <v>108</v>
      </c>
      <c r="X4" s="568">
        <v>63</v>
      </c>
      <c r="Y4" s="568">
        <v>27</v>
      </c>
      <c r="Z4" s="568">
        <v>60</v>
      </c>
      <c r="AA4" s="568">
        <v>63</v>
      </c>
      <c r="AB4" s="568">
        <v>165</v>
      </c>
      <c r="AC4" s="568">
        <v>138</v>
      </c>
      <c r="AD4" s="568">
        <v>95</v>
      </c>
      <c r="AE4" s="568">
        <v>88</v>
      </c>
      <c r="AF4" s="537">
        <v>290</v>
      </c>
      <c r="AG4" s="622"/>
    </row>
    <row r="5" spans="1:33" s="21" customFormat="1" ht="18.75" customHeight="1" x14ac:dyDescent="0.15">
      <c r="A5" s="969"/>
      <c r="B5" s="549">
        <f>B4/B$36</f>
        <v>0.12173396674584323</v>
      </c>
      <c r="C5" s="549">
        <f t="shared" ref="C5:J5" si="0">C4/C$36</f>
        <v>0.11211211211211211</v>
      </c>
      <c r="D5" s="549">
        <f t="shared" si="0"/>
        <v>0.13890963405526513</v>
      </c>
      <c r="E5" s="549">
        <f t="shared" si="0"/>
        <v>0.15541601255886969</v>
      </c>
      <c r="F5" s="549">
        <f t="shared" si="0"/>
        <v>0.10024449877750612</v>
      </c>
      <c r="G5" s="549">
        <f t="shared" si="0"/>
        <v>7.6084878608296699E-2</v>
      </c>
      <c r="H5" s="549">
        <f t="shared" si="0"/>
        <v>0.54658385093167705</v>
      </c>
      <c r="I5" s="549">
        <f t="shared" si="0"/>
        <v>0.13955726660250239</v>
      </c>
      <c r="J5" s="549">
        <f t="shared" si="0"/>
        <v>0.11419423692636073</v>
      </c>
      <c r="M5" s="53" t="s">
        <v>183</v>
      </c>
      <c r="N5" s="568">
        <v>39</v>
      </c>
      <c r="O5" s="568">
        <v>144</v>
      </c>
      <c r="P5" s="568">
        <v>15</v>
      </c>
      <c r="Q5" s="568">
        <v>146</v>
      </c>
      <c r="R5" s="568">
        <v>140</v>
      </c>
      <c r="S5" s="568">
        <v>96</v>
      </c>
      <c r="T5" s="568">
        <v>42</v>
      </c>
      <c r="U5" s="568">
        <v>32</v>
      </c>
      <c r="V5" s="568">
        <v>19</v>
      </c>
      <c r="W5" s="568">
        <v>150</v>
      </c>
      <c r="X5" s="568">
        <v>74</v>
      </c>
      <c r="Y5" s="568">
        <v>31</v>
      </c>
      <c r="Z5" s="568">
        <v>48</v>
      </c>
      <c r="AA5" s="568">
        <v>101</v>
      </c>
      <c r="AB5" s="568">
        <v>200</v>
      </c>
      <c r="AC5" s="568">
        <v>193</v>
      </c>
      <c r="AD5" s="568">
        <v>134</v>
      </c>
      <c r="AE5" s="568">
        <v>59</v>
      </c>
      <c r="AF5" s="537">
        <v>378</v>
      </c>
      <c r="AG5" s="622"/>
    </row>
    <row r="6" spans="1:33" s="21" customFormat="1" ht="18.75" customHeight="1" x14ac:dyDescent="0.15">
      <c r="A6" s="563" t="s">
        <v>416</v>
      </c>
      <c r="B6" s="546">
        <f>SUM(N5:P5)</f>
        <v>198</v>
      </c>
      <c r="C6" s="546">
        <f>SUM(Q5:R5)</f>
        <v>286</v>
      </c>
      <c r="D6" s="546">
        <f>SUM(S5:V5)</f>
        <v>189</v>
      </c>
      <c r="E6" s="546">
        <f>SUM(W5:Y5)</f>
        <v>255</v>
      </c>
      <c r="F6" s="546">
        <f>SUM(Z5:AA5)</f>
        <v>149</v>
      </c>
      <c r="G6" s="546">
        <f>SUM(AB5:AD5)</f>
        <v>527</v>
      </c>
      <c r="H6" s="546">
        <f>AE5</f>
        <v>59</v>
      </c>
      <c r="I6" s="546">
        <f>AF5</f>
        <v>378</v>
      </c>
      <c r="J6" s="547">
        <f>SUM(B6:I6)</f>
        <v>2041</v>
      </c>
      <c r="M6" s="53" t="s">
        <v>184</v>
      </c>
      <c r="N6" s="568">
        <v>32</v>
      </c>
      <c r="O6" s="568">
        <v>68</v>
      </c>
      <c r="P6" s="568">
        <v>14</v>
      </c>
      <c r="Q6" s="568">
        <v>98</v>
      </c>
      <c r="R6" s="568">
        <v>54</v>
      </c>
      <c r="S6" s="568">
        <v>64</v>
      </c>
      <c r="T6" s="568">
        <v>13</v>
      </c>
      <c r="U6" s="568">
        <v>19</v>
      </c>
      <c r="V6" s="568">
        <v>15</v>
      </c>
      <c r="W6" s="568">
        <v>64</v>
      </c>
      <c r="X6" s="568">
        <v>34</v>
      </c>
      <c r="Y6" s="568">
        <v>20</v>
      </c>
      <c r="Z6" s="568">
        <v>28</v>
      </c>
      <c r="AA6" s="568">
        <v>66</v>
      </c>
      <c r="AB6" s="568">
        <v>95</v>
      </c>
      <c r="AC6" s="568">
        <v>120</v>
      </c>
      <c r="AD6" s="568">
        <v>76</v>
      </c>
      <c r="AE6" s="568">
        <v>10</v>
      </c>
      <c r="AF6" s="537">
        <v>151</v>
      </c>
      <c r="AG6" s="622"/>
    </row>
    <row r="7" spans="1:33" s="21" customFormat="1" ht="18.75" customHeight="1" x14ac:dyDescent="0.15">
      <c r="A7" s="564" t="s">
        <v>417</v>
      </c>
      <c r="B7" s="549">
        <f>B6/B$36</f>
        <v>0.11757719714964371</v>
      </c>
      <c r="C7" s="549">
        <f t="shared" ref="C7:J7" si="1">C6/C$36</f>
        <v>0.14314314314314314</v>
      </c>
      <c r="D7" s="549">
        <f t="shared" si="1"/>
        <v>0.14115011202389843</v>
      </c>
      <c r="E7" s="549">
        <f t="shared" si="1"/>
        <v>0.20015698587127159</v>
      </c>
      <c r="F7" s="549">
        <f t="shared" si="1"/>
        <v>0.12143439282803586</v>
      </c>
      <c r="G7" s="549">
        <f t="shared" si="1"/>
        <v>0.10074555534314662</v>
      </c>
      <c r="H7" s="549">
        <f t="shared" si="1"/>
        <v>0.36645962732919257</v>
      </c>
      <c r="I7" s="549">
        <f t="shared" si="1"/>
        <v>0.18190567853705486</v>
      </c>
      <c r="J7" s="549">
        <f t="shared" si="1"/>
        <v>0.13613927427961581</v>
      </c>
      <c r="M7" s="53" t="s">
        <v>185</v>
      </c>
      <c r="N7" s="568">
        <v>63</v>
      </c>
      <c r="O7" s="568">
        <v>75</v>
      </c>
      <c r="P7" s="568">
        <v>16</v>
      </c>
      <c r="Q7" s="568">
        <v>150</v>
      </c>
      <c r="R7" s="568">
        <v>72</v>
      </c>
      <c r="S7" s="568">
        <v>65</v>
      </c>
      <c r="T7" s="568">
        <v>26</v>
      </c>
      <c r="U7" s="568">
        <v>12</v>
      </c>
      <c r="V7" s="568">
        <v>20</v>
      </c>
      <c r="W7" s="568">
        <v>71</v>
      </c>
      <c r="X7" s="568">
        <v>50</v>
      </c>
      <c r="Y7" s="568">
        <v>15</v>
      </c>
      <c r="Z7" s="568">
        <v>28</v>
      </c>
      <c r="AA7" s="568">
        <v>76</v>
      </c>
      <c r="AB7" s="568">
        <v>178</v>
      </c>
      <c r="AC7" s="568">
        <v>216</v>
      </c>
      <c r="AD7" s="568">
        <v>112</v>
      </c>
      <c r="AE7" s="568">
        <v>3</v>
      </c>
      <c r="AF7" s="537">
        <v>186</v>
      </c>
      <c r="AG7" s="622"/>
    </row>
    <row r="8" spans="1:33" s="21" customFormat="1" ht="18.75" customHeight="1" x14ac:dyDescent="0.15">
      <c r="A8" s="563" t="s">
        <v>418</v>
      </c>
      <c r="B8" s="546">
        <f>SUM(N6:P6)</f>
        <v>114</v>
      </c>
      <c r="C8" s="546">
        <f>SUM(Q6:R6)</f>
        <v>152</v>
      </c>
      <c r="D8" s="546">
        <f>SUM(S6:V6)</f>
        <v>111</v>
      </c>
      <c r="E8" s="546">
        <f>SUM(W6:Y6)</f>
        <v>118</v>
      </c>
      <c r="F8" s="546">
        <f>SUM(Z6:AA6)</f>
        <v>94</v>
      </c>
      <c r="G8" s="546">
        <f>SUM(AB6:AD6)</f>
        <v>291</v>
      </c>
      <c r="H8" s="546">
        <f>AE6</f>
        <v>10</v>
      </c>
      <c r="I8" s="546">
        <f>AF6</f>
        <v>151</v>
      </c>
      <c r="J8" s="547">
        <f>SUM(B8:I8)</f>
        <v>1041</v>
      </c>
      <c r="M8" s="53" t="s">
        <v>186</v>
      </c>
      <c r="N8" s="568">
        <v>40</v>
      </c>
      <c r="O8" s="568">
        <v>54</v>
      </c>
      <c r="P8" s="568">
        <v>9</v>
      </c>
      <c r="Q8" s="568">
        <v>99</v>
      </c>
      <c r="R8" s="568">
        <v>31</v>
      </c>
      <c r="S8" s="568">
        <v>39</v>
      </c>
      <c r="T8" s="568">
        <v>16</v>
      </c>
      <c r="U8" s="568">
        <v>17</v>
      </c>
      <c r="V8" s="568">
        <v>20</v>
      </c>
      <c r="W8" s="568">
        <v>31</v>
      </c>
      <c r="X8" s="568">
        <v>21</v>
      </c>
      <c r="Y8" s="568">
        <v>9</v>
      </c>
      <c r="Z8" s="568">
        <v>19</v>
      </c>
      <c r="AA8" s="568">
        <v>47</v>
      </c>
      <c r="AB8" s="568">
        <v>119</v>
      </c>
      <c r="AC8" s="568">
        <v>169</v>
      </c>
      <c r="AD8" s="568">
        <v>82</v>
      </c>
      <c r="AE8" s="568">
        <v>1</v>
      </c>
      <c r="AF8" s="537">
        <v>98</v>
      </c>
      <c r="AG8" s="622"/>
    </row>
    <row r="9" spans="1:33" s="21" customFormat="1" ht="18.75" customHeight="1" x14ac:dyDescent="0.15">
      <c r="A9" s="564" t="s">
        <v>419</v>
      </c>
      <c r="B9" s="549">
        <f>B8/B$36</f>
        <v>6.769596199524941E-2</v>
      </c>
      <c r="C9" s="549">
        <f t="shared" ref="C9:J9" si="2">C8/C$36</f>
        <v>7.6076076076076082E-2</v>
      </c>
      <c r="D9" s="549">
        <f t="shared" si="2"/>
        <v>8.2897684839432412E-2</v>
      </c>
      <c r="E9" s="549">
        <f t="shared" si="2"/>
        <v>9.2621664050235475E-2</v>
      </c>
      <c r="F9" s="549">
        <f t="shared" si="2"/>
        <v>7.6609616951915246E-2</v>
      </c>
      <c r="G9" s="549">
        <f t="shared" si="2"/>
        <v>5.5629898680940544E-2</v>
      </c>
      <c r="H9" s="549">
        <f t="shared" si="2"/>
        <v>6.2111801242236024E-2</v>
      </c>
      <c r="I9" s="549">
        <f t="shared" si="2"/>
        <v>7.2666025024061595E-2</v>
      </c>
      <c r="J9" s="549">
        <f t="shared" si="2"/>
        <v>6.9437033084311636E-2</v>
      </c>
      <c r="M9" s="53" t="s">
        <v>187</v>
      </c>
      <c r="N9" s="568">
        <v>21</v>
      </c>
      <c r="O9" s="568">
        <v>30</v>
      </c>
      <c r="P9" s="568">
        <v>15</v>
      </c>
      <c r="Q9" s="568">
        <v>71</v>
      </c>
      <c r="R9" s="568">
        <v>31</v>
      </c>
      <c r="S9" s="568">
        <v>22</v>
      </c>
      <c r="T9" s="568">
        <v>11</v>
      </c>
      <c r="U9" s="568">
        <v>4</v>
      </c>
      <c r="V9" s="568">
        <v>9</v>
      </c>
      <c r="W9" s="568">
        <v>27</v>
      </c>
      <c r="X9" s="568">
        <v>13</v>
      </c>
      <c r="Y9" s="568">
        <v>13</v>
      </c>
      <c r="Z9" s="568">
        <v>27</v>
      </c>
      <c r="AA9" s="568">
        <v>44</v>
      </c>
      <c r="AB9" s="568">
        <v>126</v>
      </c>
      <c r="AC9" s="568">
        <v>124</v>
      </c>
      <c r="AD9" s="568">
        <v>73</v>
      </c>
      <c r="AE9" s="568"/>
      <c r="AF9" s="537">
        <v>98</v>
      </c>
      <c r="AG9" s="622"/>
    </row>
    <row r="10" spans="1:33" s="21" customFormat="1" ht="18.75" customHeight="1" x14ac:dyDescent="0.15">
      <c r="A10" s="563" t="s">
        <v>420</v>
      </c>
      <c r="B10" s="546">
        <f>SUM(N7:P7)</f>
        <v>154</v>
      </c>
      <c r="C10" s="546">
        <f>SUM(Q7:R7)</f>
        <v>222</v>
      </c>
      <c r="D10" s="546">
        <f>SUM(S7:V7)</f>
        <v>123</v>
      </c>
      <c r="E10" s="546">
        <f>SUM(W7:Y7)</f>
        <v>136</v>
      </c>
      <c r="F10" s="546">
        <f>SUM(Z7:AA7)</f>
        <v>104</v>
      </c>
      <c r="G10" s="546">
        <f>SUM(AB7:AD7)</f>
        <v>506</v>
      </c>
      <c r="H10" s="546">
        <f>AE7</f>
        <v>3</v>
      </c>
      <c r="I10" s="546">
        <f>AF7</f>
        <v>186</v>
      </c>
      <c r="J10" s="547">
        <f>SUM(B10:I10)</f>
        <v>1434</v>
      </c>
      <c r="M10" s="53" t="s">
        <v>188</v>
      </c>
      <c r="N10" s="568">
        <v>42</v>
      </c>
      <c r="O10" s="568">
        <v>49</v>
      </c>
      <c r="P10" s="568">
        <v>19</v>
      </c>
      <c r="Q10" s="568">
        <v>146</v>
      </c>
      <c r="R10" s="568">
        <v>36</v>
      </c>
      <c r="S10" s="568">
        <v>63</v>
      </c>
      <c r="T10" s="568">
        <v>21</v>
      </c>
      <c r="U10" s="568">
        <v>22</v>
      </c>
      <c r="V10" s="568">
        <v>12</v>
      </c>
      <c r="W10" s="568">
        <v>44</v>
      </c>
      <c r="X10" s="568">
        <v>13</v>
      </c>
      <c r="Y10" s="568">
        <v>9</v>
      </c>
      <c r="Z10" s="568">
        <v>42</v>
      </c>
      <c r="AA10" s="568">
        <v>69</v>
      </c>
      <c r="AB10" s="568">
        <v>178</v>
      </c>
      <c r="AC10" s="568">
        <v>256</v>
      </c>
      <c r="AD10" s="568">
        <v>125</v>
      </c>
      <c r="AE10" s="568"/>
      <c r="AF10" s="537">
        <v>115</v>
      </c>
      <c r="AG10" s="622"/>
    </row>
    <row r="11" spans="1:33" s="21" customFormat="1" ht="18.75" customHeight="1" x14ac:dyDescent="0.15">
      <c r="A11" s="564" t="s">
        <v>69</v>
      </c>
      <c r="B11" s="549">
        <f>B10/B$36</f>
        <v>9.1448931116389548E-2</v>
      </c>
      <c r="C11" s="549">
        <f t="shared" ref="C11:J11" si="3">C10/C$36</f>
        <v>0.1111111111111111</v>
      </c>
      <c r="D11" s="549">
        <f t="shared" si="3"/>
        <v>9.1859596713965652E-2</v>
      </c>
      <c r="E11" s="549">
        <f t="shared" si="3"/>
        <v>0.10675039246467818</v>
      </c>
      <c r="F11" s="549">
        <f t="shared" si="3"/>
        <v>8.4759576202118991E-2</v>
      </c>
      <c r="G11" s="549">
        <f t="shared" si="3"/>
        <v>9.6731026572357104E-2</v>
      </c>
      <c r="H11" s="549">
        <f t="shared" si="3"/>
        <v>1.8633540372670808E-2</v>
      </c>
      <c r="I11" s="549">
        <f t="shared" si="3"/>
        <v>8.9509143407122238E-2</v>
      </c>
      <c r="J11" s="549">
        <f t="shared" si="3"/>
        <v>9.5651013874066174E-2</v>
      </c>
      <c r="M11" s="53" t="s">
        <v>189</v>
      </c>
      <c r="N11" s="568">
        <v>31</v>
      </c>
      <c r="O11" s="568">
        <v>30</v>
      </c>
      <c r="P11" s="568">
        <v>22</v>
      </c>
      <c r="Q11" s="568">
        <v>93</v>
      </c>
      <c r="R11" s="568">
        <v>25</v>
      </c>
      <c r="S11" s="568">
        <v>35</v>
      </c>
      <c r="T11" s="568">
        <v>15</v>
      </c>
      <c r="U11" s="568">
        <v>19</v>
      </c>
      <c r="V11" s="568">
        <v>7</v>
      </c>
      <c r="W11" s="568">
        <v>51</v>
      </c>
      <c r="X11" s="568">
        <v>15</v>
      </c>
      <c r="Y11" s="568">
        <v>18</v>
      </c>
      <c r="Z11" s="568">
        <v>29</v>
      </c>
      <c r="AA11" s="568">
        <v>39</v>
      </c>
      <c r="AB11" s="568">
        <v>159</v>
      </c>
      <c r="AC11" s="568">
        <v>171</v>
      </c>
      <c r="AD11" s="568">
        <v>81</v>
      </c>
      <c r="AE11" s="568"/>
      <c r="AF11" s="537">
        <v>95</v>
      </c>
      <c r="AG11" s="622"/>
    </row>
    <row r="12" spans="1:33" s="21" customFormat="1" ht="18.75" customHeight="1" x14ac:dyDescent="0.15">
      <c r="A12" s="563" t="s">
        <v>421</v>
      </c>
      <c r="B12" s="546">
        <f>SUM(N8:P8)</f>
        <v>103</v>
      </c>
      <c r="C12" s="546">
        <f>SUM(Q8:R8)</f>
        <v>130</v>
      </c>
      <c r="D12" s="546">
        <f>SUM(S8:V8)</f>
        <v>92</v>
      </c>
      <c r="E12" s="546">
        <f>SUM(W8:Y8)</f>
        <v>61</v>
      </c>
      <c r="F12" s="546">
        <f>SUM(Z8:AA8)</f>
        <v>66</v>
      </c>
      <c r="G12" s="546">
        <f>SUM(AB8:AD8)</f>
        <v>370</v>
      </c>
      <c r="H12" s="546">
        <f>AE8</f>
        <v>1</v>
      </c>
      <c r="I12" s="546">
        <f>AF8</f>
        <v>98</v>
      </c>
      <c r="J12" s="547">
        <f>SUM(B12:I12)</f>
        <v>921</v>
      </c>
      <c r="M12" s="53" t="s">
        <v>190</v>
      </c>
      <c r="N12" s="568">
        <v>35</v>
      </c>
      <c r="O12" s="568">
        <v>34</v>
      </c>
      <c r="P12" s="568">
        <v>26</v>
      </c>
      <c r="Q12" s="568">
        <v>122</v>
      </c>
      <c r="R12" s="568">
        <v>23</v>
      </c>
      <c r="S12" s="568">
        <v>45</v>
      </c>
      <c r="T12" s="568">
        <v>8</v>
      </c>
      <c r="U12" s="568">
        <v>11</v>
      </c>
      <c r="V12" s="568">
        <v>7</v>
      </c>
      <c r="W12" s="568">
        <v>23</v>
      </c>
      <c r="X12" s="568">
        <v>9</v>
      </c>
      <c r="Y12" s="568">
        <v>5</v>
      </c>
      <c r="Z12" s="568">
        <v>21</v>
      </c>
      <c r="AA12" s="568">
        <v>30</v>
      </c>
      <c r="AB12" s="568">
        <v>70</v>
      </c>
      <c r="AC12" s="568">
        <v>145</v>
      </c>
      <c r="AD12" s="568">
        <v>70</v>
      </c>
      <c r="AE12" s="568"/>
      <c r="AF12" s="537">
        <v>74</v>
      </c>
      <c r="AG12" s="622"/>
    </row>
    <row r="13" spans="1:33" s="21" customFormat="1" ht="18.75" customHeight="1" x14ac:dyDescent="0.15">
      <c r="A13" s="564" t="s">
        <v>422</v>
      </c>
      <c r="B13" s="549">
        <f>B12/B$36</f>
        <v>6.1163895486935869E-2</v>
      </c>
      <c r="C13" s="549">
        <f t="shared" ref="C13:J13" si="4">C12/C$36</f>
        <v>6.506506506506507E-2</v>
      </c>
      <c r="D13" s="549">
        <f t="shared" si="4"/>
        <v>6.8707991038088126E-2</v>
      </c>
      <c r="E13" s="549">
        <f t="shared" si="4"/>
        <v>4.7880690737833596E-2</v>
      </c>
      <c r="F13" s="549">
        <f t="shared" si="4"/>
        <v>5.3789731051344741E-2</v>
      </c>
      <c r="G13" s="549">
        <f t="shared" si="4"/>
        <v>7.0732173580577332E-2</v>
      </c>
      <c r="H13" s="549">
        <f t="shared" si="4"/>
        <v>6.2111801242236021E-3</v>
      </c>
      <c r="I13" s="549">
        <f t="shared" si="4"/>
        <v>4.7160731472569779E-2</v>
      </c>
      <c r="J13" s="549">
        <f t="shared" si="4"/>
        <v>6.1432764140875132E-2</v>
      </c>
      <c r="M13" s="53" t="s">
        <v>191</v>
      </c>
      <c r="N13" s="568">
        <v>27</v>
      </c>
      <c r="O13" s="568">
        <v>35</v>
      </c>
      <c r="P13" s="568">
        <v>7</v>
      </c>
      <c r="Q13" s="568">
        <v>49</v>
      </c>
      <c r="R13" s="568">
        <v>18</v>
      </c>
      <c r="S13" s="568">
        <v>20</v>
      </c>
      <c r="T13" s="568">
        <v>7</v>
      </c>
      <c r="U13" s="568">
        <v>10</v>
      </c>
      <c r="V13" s="568">
        <v>11</v>
      </c>
      <c r="W13" s="568">
        <v>31</v>
      </c>
      <c r="X13" s="568">
        <v>6</v>
      </c>
      <c r="Y13" s="568">
        <v>7</v>
      </c>
      <c r="Z13" s="568">
        <v>22</v>
      </c>
      <c r="AA13" s="568">
        <v>28</v>
      </c>
      <c r="AB13" s="568">
        <v>63</v>
      </c>
      <c r="AC13" s="568">
        <v>122</v>
      </c>
      <c r="AD13" s="568">
        <v>54</v>
      </c>
      <c r="AE13" s="568"/>
      <c r="AF13" s="537">
        <v>60</v>
      </c>
      <c r="AG13" s="622"/>
    </row>
    <row r="14" spans="1:33" s="21" customFormat="1" ht="18.75" customHeight="1" x14ac:dyDescent="0.15">
      <c r="A14" s="563" t="s">
        <v>423</v>
      </c>
      <c r="B14" s="546">
        <f>SUM(N9:P9)</f>
        <v>66</v>
      </c>
      <c r="C14" s="546">
        <f>SUM(Q9:R9)</f>
        <v>102</v>
      </c>
      <c r="D14" s="546">
        <f>SUM(S9:V9)</f>
        <v>46</v>
      </c>
      <c r="E14" s="546">
        <f>SUM(W9:Y9)</f>
        <v>53</v>
      </c>
      <c r="F14" s="546">
        <f>SUM(Z9:AA9)</f>
        <v>71</v>
      </c>
      <c r="G14" s="546">
        <f>SUM(AB9:AD9)</f>
        <v>323</v>
      </c>
      <c r="H14" s="546">
        <f>AE9</f>
        <v>0</v>
      </c>
      <c r="I14" s="546">
        <f>AF9</f>
        <v>98</v>
      </c>
      <c r="J14" s="547">
        <f>SUM(B14:I14)</f>
        <v>759</v>
      </c>
      <c r="M14" s="53" t="s">
        <v>192</v>
      </c>
      <c r="N14" s="568">
        <v>17</v>
      </c>
      <c r="O14" s="568">
        <v>28</v>
      </c>
      <c r="P14" s="568">
        <v>15</v>
      </c>
      <c r="Q14" s="568">
        <v>36</v>
      </c>
      <c r="R14" s="568">
        <v>15</v>
      </c>
      <c r="S14" s="568">
        <v>12</v>
      </c>
      <c r="T14" s="568">
        <v>10</v>
      </c>
      <c r="U14" s="568">
        <v>7</v>
      </c>
      <c r="V14" s="568">
        <v>6</v>
      </c>
      <c r="W14" s="568">
        <v>15</v>
      </c>
      <c r="X14" s="568">
        <v>7</v>
      </c>
      <c r="Y14" s="568">
        <v>4</v>
      </c>
      <c r="Z14" s="568">
        <v>13</v>
      </c>
      <c r="AA14" s="568">
        <v>21</v>
      </c>
      <c r="AB14" s="568">
        <v>29</v>
      </c>
      <c r="AC14" s="568">
        <v>75</v>
      </c>
      <c r="AD14" s="568">
        <v>50</v>
      </c>
      <c r="AE14" s="568"/>
      <c r="AF14" s="537">
        <v>37</v>
      </c>
      <c r="AG14" s="622"/>
    </row>
    <row r="15" spans="1:33" s="21" customFormat="1" ht="18.75" customHeight="1" x14ac:dyDescent="0.15">
      <c r="A15" s="564" t="s">
        <v>424</v>
      </c>
      <c r="B15" s="549">
        <f>B14/B$36</f>
        <v>3.9192399049881234E-2</v>
      </c>
      <c r="C15" s="549">
        <f t="shared" ref="C15:J15" si="5">C14/C$36</f>
        <v>5.1051051051051052E-2</v>
      </c>
      <c r="D15" s="549">
        <f t="shared" si="5"/>
        <v>3.4353995519044063E-2</v>
      </c>
      <c r="E15" s="549">
        <f t="shared" si="5"/>
        <v>4.1601255886970175E-2</v>
      </c>
      <c r="F15" s="549">
        <f t="shared" si="5"/>
        <v>5.7864710676446621E-2</v>
      </c>
      <c r="G15" s="549">
        <f t="shared" si="5"/>
        <v>6.1747275855476964E-2</v>
      </c>
      <c r="H15" s="549">
        <f t="shared" si="5"/>
        <v>0</v>
      </c>
      <c r="I15" s="549">
        <f t="shared" si="5"/>
        <v>4.7160731472569779E-2</v>
      </c>
      <c r="J15" s="549">
        <f t="shared" si="5"/>
        <v>5.0627001067235861E-2</v>
      </c>
      <c r="M15" s="53" t="s">
        <v>193</v>
      </c>
      <c r="N15" s="568">
        <v>16</v>
      </c>
      <c r="O15" s="568">
        <v>27</v>
      </c>
      <c r="P15" s="568">
        <v>14</v>
      </c>
      <c r="Q15" s="568">
        <v>18</v>
      </c>
      <c r="R15" s="568">
        <v>6</v>
      </c>
      <c r="S15" s="568">
        <v>23</v>
      </c>
      <c r="T15" s="568">
        <v>5</v>
      </c>
      <c r="U15" s="568">
        <v>3</v>
      </c>
      <c r="V15" s="568">
        <v>5</v>
      </c>
      <c r="W15" s="568">
        <v>15</v>
      </c>
      <c r="X15" s="568">
        <v>8</v>
      </c>
      <c r="Y15" s="568">
        <v>6</v>
      </c>
      <c r="Z15" s="568">
        <v>18</v>
      </c>
      <c r="AA15" s="568">
        <v>14</v>
      </c>
      <c r="AB15" s="568">
        <v>32</v>
      </c>
      <c r="AC15" s="568">
        <v>77</v>
      </c>
      <c r="AD15" s="568">
        <v>36</v>
      </c>
      <c r="AE15" s="568"/>
      <c r="AF15" s="537">
        <v>44</v>
      </c>
      <c r="AG15" s="622"/>
    </row>
    <row r="16" spans="1:33" s="21" customFormat="1" ht="18.75" customHeight="1" x14ac:dyDescent="0.15">
      <c r="A16" s="563" t="s">
        <v>425</v>
      </c>
      <c r="B16" s="546">
        <f>SUM(N10:P10)</f>
        <v>110</v>
      </c>
      <c r="C16" s="546">
        <f>SUM(Q10:R10)</f>
        <v>182</v>
      </c>
      <c r="D16" s="546">
        <f>SUM(S10:V10)</f>
        <v>118</v>
      </c>
      <c r="E16" s="546">
        <f>SUM(W10:Y10)</f>
        <v>66</v>
      </c>
      <c r="F16" s="546">
        <f>SUM(Z10:AA10)</f>
        <v>111</v>
      </c>
      <c r="G16" s="546">
        <f>SUM(AB10:AD10)</f>
        <v>559</v>
      </c>
      <c r="H16" s="546">
        <f>AE10</f>
        <v>0</v>
      </c>
      <c r="I16" s="546">
        <f>AF10</f>
        <v>115</v>
      </c>
      <c r="J16" s="547">
        <f>SUM(B16:I16)</f>
        <v>1261</v>
      </c>
      <c r="M16" s="53" t="s">
        <v>194</v>
      </c>
      <c r="N16" s="568">
        <v>11</v>
      </c>
      <c r="O16" s="568">
        <v>18</v>
      </c>
      <c r="P16" s="568">
        <v>7</v>
      </c>
      <c r="Q16" s="568">
        <v>31</v>
      </c>
      <c r="R16" s="568">
        <v>7</v>
      </c>
      <c r="S16" s="568">
        <v>8</v>
      </c>
      <c r="T16" s="568">
        <v>3</v>
      </c>
      <c r="U16" s="568">
        <v>3</v>
      </c>
      <c r="V16" s="568">
        <v>6</v>
      </c>
      <c r="W16" s="568">
        <v>13</v>
      </c>
      <c r="X16" s="568">
        <v>6</v>
      </c>
      <c r="Y16" s="568">
        <v>4</v>
      </c>
      <c r="Z16" s="568">
        <v>16</v>
      </c>
      <c r="AA16" s="568">
        <v>17</v>
      </c>
      <c r="AB16" s="568">
        <v>27</v>
      </c>
      <c r="AC16" s="568">
        <v>66</v>
      </c>
      <c r="AD16" s="568">
        <v>30</v>
      </c>
      <c r="AE16" s="568"/>
      <c r="AF16" s="537">
        <v>38</v>
      </c>
      <c r="AG16" s="622"/>
    </row>
    <row r="17" spans="1:33" s="21" customFormat="1" ht="18.75" customHeight="1" x14ac:dyDescent="0.15">
      <c r="A17" s="564" t="s">
        <v>426</v>
      </c>
      <c r="B17" s="549">
        <f>B16/B$36</f>
        <v>6.5320665083135387E-2</v>
      </c>
      <c r="C17" s="549">
        <f t="shared" ref="C17:J17" si="6">C16/C$36</f>
        <v>9.1091091091091092E-2</v>
      </c>
      <c r="D17" s="549">
        <f t="shared" si="6"/>
        <v>8.8125466766243471E-2</v>
      </c>
      <c r="E17" s="549">
        <f t="shared" si="6"/>
        <v>5.1805337519623233E-2</v>
      </c>
      <c r="F17" s="549">
        <f t="shared" si="6"/>
        <v>9.0464547677261614E-2</v>
      </c>
      <c r="G17" s="549">
        <f t="shared" si="6"/>
        <v>0.10686293251768304</v>
      </c>
      <c r="H17" s="549">
        <f t="shared" si="6"/>
        <v>0</v>
      </c>
      <c r="I17" s="549">
        <f t="shared" si="6"/>
        <v>5.5341674687199228E-2</v>
      </c>
      <c r="J17" s="549">
        <f t="shared" si="6"/>
        <v>8.4111526147278542E-2</v>
      </c>
      <c r="M17" s="53" t="s">
        <v>195</v>
      </c>
      <c r="N17" s="568">
        <v>6</v>
      </c>
      <c r="O17" s="568">
        <v>16</v>
      </c>
      <c r="P17" s="568">
        <v>5</v>
      </c>
      <c r="Q17" s="568">
        <v>20</v>
      </c>
      <c r="R17" s="568">
        <v>7</v>
      </c>
      <c r="S17" s="568">
        <v>9</v>
      </c>
      <c r="T17" s="568">
        <v>6</v>
      </c>
      <c r="U17" s="568">
        <v>7</v>
      </c>
      <c r="V17" s="568">
        <v>5</v>
      </c>
      <c r="W17" s="568">
        <v>14</v>
      </c>
      <c r="X17" s="568">
        <v>5</v>
      </c>
      <c r="Y17" s="568">
        <v>1</v>
      </c>
      <c r="Z17" s="568">
        <v>8</v>
      </c>
      <c r="AA17" s="568">
        <v>13</v>
      </c>
      <c r="AB17" s="568">
        <v>29</v>
      </c>
      <c r="AC17" s="568">
        <v>46</v>
      </c>
      <c r="AD17" s="568">
        <v>26</v>
      </c>
      <c r="AE17" s="568"/>
      <c r="AF17" s="537">
        <v>34</v>
      </c>
      <c r="AG17" s="622"/>
    </row>
    <row r="18" spans="1:33" s="21" customFormat="1" ht="18.75" customHeight="1" x14ac:dyDescent="0.15">
      <c r="A18" s="563" t="s">
        <v>427</v>
      </c>
      <c r="B18" s="546">
        <f>SUM(N11:P11)</f>
        <v>83</v>
      </c>
      <c r="C18" s="546">
        <f>SUM(Q11:R11)</f>
        <v>118</v>
      </c>
      <c r="D18" s="546">
        <f>SUM(S11:V11)</f>
        <v>76</v>
      </c>
      <c r="E18" s="546">
        <f>SUM(W11:Y11)</f>
        <v>84</v>
      </c>
      <c r="F18" s="546">
        <f>SUM(Z11:AA11)</f>
        <v>68</v>
      </c>
      <c r="G18" s="546">
        <f>SUM(AB11:AD11)</f>
        <v>411</v>
      </c>
      <c r="H18" s="546">
        <f>AE11</f>
        <v>0</v>
      </c>
      <c r="I18" s="546">
        <f>AF11</f>
        <v>95</v>
      </c>
      <c r="J18" s="547">
        <f>SUM(B18:I18)</f>
        <v>935</v>
      </c>
      <c r="M18" s="53" t="s">
        <v>196</v>
      </c>
      <c r="N18" s="568">
        <v>59</v>
      </c>
      <c r="O18" s="568">
        <v>75</v>
      </c>
      <c r="P18" s="568">
        <v>50</v>
      </c>
      <c r="Q18" s="568">
        <v>91</v>
      </c>
      <c r="R18" s="568">
        <v>70</v>
      </c>
      <c r="S18" s="568">
        <v>57</v>
      </c>
      <c r="T18" s="568">
        <v>7</v>
      </c>
      <c r="U18" s="568">
        <v>23</v>
      </c>
      <c r="V18" s="568">
        <v>18</v>
      </c>
      <c r="W18" s="568">
        <v>52</v>
      </c>
      <c r="X18" s="568">
        <v>18</v>
      </c>
      <c r="Y18" s="568">
        <v>9</v>
      </c>
      <c r="Z18" s="568">
        <v>62</v>
      </c>
      <c r="AA18" s="568">
        <v>83</v>
      </c>
      <c r="AB18" s="568">
        <v>107</v>
      </c>
      <c r="AC18" s="568">
        <v>286</v>
      </c>
      <c r="AD18" s="568">
        <v>128</v>
      </c>
      <c r="AE18" s="568"/>
      <c r="AF18" s="537">
        <v>200</v>
      </c>
      <c r="AG18" s="622"/>
    </row>
    <row r="19" spans="1:33" s="21" customFormat="1" ht="18.75" customHeight="1" x14ac:dyDescent="0.15">
      <c r="A19" s="564" t="s">
        <v>428</v>
      </c>
      <c r="B19" s="549">
        <f>B18/B$36</f>
        <v>4.9287410926365793E-2</v>
      </c>
      <c r="C19" s="549">
        <f t="shared" ref="C19:J19" si="7">C18/C$36</f>
        <v>5.905905905905906E-2</v>
      </c>
      <c r="D19" s="549">
        <f t="shared" si="7"/>
        <v>5.675877520537715E-2</v>
      </c>
      <c r="E19" s="549">
        <f t="shared" si="7"/>
        <v>6.5934065934065936E-2</v>
      </c>
      <c r="F19" s="549">
        <f t="shared" si="7"/>
        <v>5.5419722901385492E-2</v>
      </c>
      <c r="G19" s="549">
        <f t="shared" si="7"/>
        <v>7.8570063085452113E-2</v>
      </c>
      <c r="H19" s="549">
        <f t="shared" si="7"/>
        <v>0</v>
      </c>
      <c r="I19" s="549">
        <f t="shared" si="7"/>
        <v>4.571703561116458E-2</v>
      </c>
      <c r="J19" s="549">
        <f t="shared" si="7"/>
        <v>6.236659551760939E-2</v>
      </c>
      <c r="M19" s="53" t="s">
        <v>197</v>
      </c>
      <c r="N19" s="568">
        <v>62</v>
      </c>
      <c r="O19" s="568">
        <v>20</v>
      </c>
      <c r="P19" s="568">
        <v>41</v>
      </c>
      <c r="Q19" s="568">
        <v>62</v>
      </c>
      <c r="R19" s="568">
        <v>7</v>
      </c>
      <c r="S19" s="568">
        <v>31</v>
      </c>
      <c r="T19" s="568">
        <v>4</v>
      </c>
      <c r="U19" s="568">
        <v>7</v>
      </c>
      <c r="V19" s="568">
        <v>14</v>
      </c>
      <c r="W19" s="568">
        <v>26</v>
      </c>
      <c r="X19" s="568">
        <v>16</v>
      </c>
      <c r="Y19" s="568">
        <v>3</v>
      </c>
      <c r="Z19" s="568">
        <v>21</v>
      </c>
      <c r="AA19" s="568">
        <v>54</v>
      </c>
      <c r="AB19" s="568">
        <v>69</v>
      </c>
      <c r="AC19" s="568">
        <v>131</v>
      </c>
      <c r="AD19" s="568">
        <v>78</v>
      </c>
      <c r="AE19" s="568"/>
      <c r="AF19" s="537">
        <v>180</v>
      </c>
      <c r="AG19" s="622"/>
    </row>
    <row r="20" spans="1:33" s="21" customFormat="1" ht="18.75" customHeight="1" x14ac:dyDescent="0.15">
      <c r="A20" s="563" t="s">
        <v>429</v>
      </c>
      <c r="B20" s="546">
        <f>SUM(N12:P12)</f>
        <v>95</v>
      </c>
      <c r="C20" s="546">
        <f>SUM(Q12:R12)</f>
        <v>145</v>
      </c>
      <c r="D20" s="546">
        <f>SUM(S12:V12)</f>
        <v>71</v>
      </c>
      <c r="E20" s="546">
        <f>SUM(W12:Y12)</f>
        <v>37</v>
      </c>
      <c r="F20" s="546">
        <f>SUM(Z12:AA12)</f>
        <v>51</v>
      </c>
      <c r="G20" s="546">
        <f>SUM(AB12:AD12)</f>
        <v>285</v>
      </c>
      <c r="H20" s="546">
        <f>AE12</f>
        <v>0</v>
      </c>
      <c r="I20" s="546">
        <f>AF12</f>
        <v>74</v>
      </c>
      <c r="J20" s="547">
        <f>SUM(B20:I20)</f>
        <v>758</v>
      </c>
      <c r="M20" s="82" t="s">
        <v>385</v>
      </c>
      <c r="N20" s="622"/>
      <c r="O20" s="622"/>
      <c r="P20" s="622"/>
      <c r="Q20" s="622"/>
      <c r="R20" s="622"/>
      <c r="S20" s="622"/>
      <c r="T20" s="622"/>
      <c r="U20" s="622"/>
      <c r="V20" s="622"/>
      <c r="W20" s="622"/>
      <c r="X20" s="622"/>
      <c r="Y20" s="622"/>
      <c r="Z20" s="622"/>
      <c r="AA20" s="622"/>
      <c r="AB20" s="622"/>
      <c r="AC20" s="622"/>
      <c r="AD20" s="622"/>
      <c r="AE20" s="622"/>
      <c r="AG20" s="622"/>
    </row>
    <row r="21" spans="1:33" s="21" customFormat="1" ht="18.75" customHeight="1" x14ac:dyDescent="0.15">
      <c r="A21" s="564" t="s">
        <v>430</v>
      </c>
      <c r="B21" s="549">
        <f>B20/B$36</f>
        <v>5.6413301662707839E-2</v>
      </c>
      <c r="C21" s="549">
        <f t="shared" ref="C21:J21" si="8">C20/C$36</f>
        <v>7.2572572572572575E-2</v>
      </c>
      <c r="D21" s="549">
        <f t="shared" si="8"/>
        <v>5.3024645257654969E-2</v>
      </c>
      <c r="E21" s="549">
        <f t="shared" si="8"/>
        <v>2.9042386185243328E-2</v>
      </c>
      <c r="F21" s="549">
        <f t="shared" si="8"/>
        <v>4.1564792176039117E-2</v>
      </c>
      <c r="G21" s="549">
        <f t="shared" si="8"/>
        <v>5.4482890460714965E-2</v>
      </c>
      <c r="H21" s="549">
        <f t="shared" si="8"/>
        <v>0</v>
      </c>
      <c r="I21" s="549">
        <f t="shared" si="8"/>
        <v>3.5611164581328202E-2</v>
      </c>
      <c r="J21" s="549">
        <f t="shared" si="8"/>
        <v>5.0560298826040552E-2</v>
      </c>
    </row>
    <row r="22" spans="1:33" s="21" customFormat="1" ht="18.75" customHeight="1" x14ac:dyDescent="0.15">
      <c r="A22" s="563" t="s">
        <v>431</v>
      </c>
      <c r="B22" s="546">
        <f>SUM(N13:P13)</f>
        <v>69</v>
      </c>
      <c r="C22" s="546">
        <f>SUM(Q13:R13)</f>
        <v>67</v>
      </c>
      <c r="D22" s="546">
        <f>SUM(S13:V13)</f>
        <v>48</v>
      </c>
      <c r="E22" s="546">
        <f>SUM(W13:Y13)</f>
        <v>44</v>
      </c>
      <c r="F22" s="546">
        <f>SUM(Z13:AA13)</f>
        <v>50</v>
      </c>
      <c r="G22" s="546">
        <f>SUM(AB13:AD13)</f>
        <v>239</v>
      </c>
      <c r="H22" s="546">
        <f>AE13</f>
        <v>0</v>
      </c>
      <c r="I22" s="546">
        <f>AF13</f>
        <v>60</v>
      </c>
      <c r="J22" s="547">
        <f>SUM(B22:I22)</f>
        <v>577</v>
      </c>
    </row>
    <row r="23" spans="1:33" s="21" customFormat="1" ht="18.75" customHeight="1" x14ac:dyDescent="0.15">
      <c r="A23" s="564" t="s">
        <v>432</v>
      </c>
      <c r="B23" s="549">
        <f>B22/B$36</f>
        <v>4.0973871733966744E-2</v>
      </c>
      <c r="C23" s="549">
        <f t="shared" ref="C23:J23" si="9">C22/C$36</f>
        <v>3.3533533533533534E-2</v>
      </c>
      <c r="D23" s="549">
        <f t="shared" si="9"/>
        <v>3.5847647498132934E-2</v>
      </c>
      <c r="E23" s="549">
        <f t="shared" si="9"/>
        <v>3.453689167974882E-2</v>
      </c>
      <c r="F23" s="549">
        <f t="shared" si="9"/>
        <v>4.0749796251018745E-2</v>
      </c>
      <c r="G23" s="549">
        <f t="shared" si="9"/>
        <v>4.5689160772318868E-2</v>
      </c>
      <c r="H23" s="549">
        <f t="shared" si="9"/>
        <v>0</v>
      </c>
      <c r="I23" s="549">
        <f t="shared" si="9"/>
        <v>2.8873917228103944E-2</v>
      </c>
      <c r="J23" s="549">
        <f t="shared" si="9"/>
        <v>3.8487193169690501E-2</v>
      </c>
    </row>
    <row r="24" spans="1:33" s="21" customFormat="1" ht="18.75" customHeight="1" x14ac:dyDescent="0.15">
      <c r="A24" s="563" t="s">
        <v>433</v>
      </c>
      <c r="B24" s="546">
        <f>SUM(N14:P14)</f>
        <v>60</v>
      </c>
      <c r="C24" s="546">
        <f>SUM(Q14:R14)</f>
        <v>51</v>
      </c>
      <c r="D24" s="546">
        <f>SUM(S14:V14)</f>
        <v>35</v>
      </c>
      <c r="E24" s="546">
        <f>SUM(W14:Y14)</f>
        <v>26</v>
      </c>
      <c r="F24" s="546">
        <f>SUM(Z14:AA14)</f>
        <v>34</v>
      </c>
      <c r="G24" s="546">
        <f>SUM(AB14:AD14)</f>
        <v>154</v>
      </c>
      <c r="H24" s="546">
        <f>AE14</f>
        <v>0</v>
      </c>
      <c r="I24" s="546">
        <f>AF14</f>
        <v>37</v>
      </c>
      <c r="J24" s="547">
        <f>SUM(B24:I24)</f>
        <v>397</v>
      </c>
    </row>
    <row r="25" spans="1:33" s="21" customFormat="1" ht="18.75" customHeight="1" x14ac:dyDescent="0.15">
      <c r="A25" s="564" t="s">
        <v>434</v>
      </c>
      <c r="B25" s="549">
        <f>B24/B$36</f>
        <v>3.5629453681710214E-2</v>
      </c>
      <c r="C25" s="549">
        <f t="shared" ref="C25:J25" si="10">C24/C$36</f>
        <v>2.5525525525525526E-2</v>
      </c>
      <c r="D25" s="549">
        <f t="shared" si="10"/>
        <v>2.6138909634055265E-2</v>
      </c>
      <c r="E25" s="549">
        <f t="shared" si="10"/>
        <v>2.0408163265306121E-2</v>
      </c>
      <c r="F25" s="549">
        <f t="shared" si="10"/>
        <v>2.7709861450692746E-2</v>
      </c>
      <c r="G25" s="549">
        <f t="shared" si="10"/>
        <v>2.9439877652456509E-2</v>
      </c>
      <c r="H25" s="549">
        <f t="shared" si="10"/>
        <v>0</v>
      </c>
      <c r="I25" s="549">
        <f t="shared" si="10"/>
        <v>1.7805582290664101E-2</v>
      </c>
      <c r="J25" s="549">
        <f t="shared" si="10"/>
        <v>2.6480789754535751E-2</v>
      </c>
    </row>
    <row r="26" spans="1:33" s="21" customFormat="1" ht="18.75" customHeight="1" x14ac:dyDescent="0.15">
      <c r="A26" s="563" t="s">
        <v>435</v>
      </c>
      <c r="B26" s="546">
        <f>SUM(N15:P15)</f>
        <v>57</v>
      </c>
      <c r="C26" s="546">
        <f>SUM(Q15:R15)</f>
        <v>24</v>
      </c>
      <c r="D26" s="546">
        <f>SUM(S15:V15)</f>
        <v>36</v>
      </c>
      <c r="E26" s="546">
        <f>SUM(W15:Y15)</f>
        <v>29</v>
      </c>
      <c r="F26" s="546">
        <f>SUM(Z15:AA15)</f>
        <v>32</v>
      </c>
      <c r="G26" s="546">
        <f>SUM(AB15:AD15)</f>
        <v>145</v>
      </c>
      <c r="H26" s="546">
        <f>AE15</f>
        <v>0</v>
      </c>
      <c r="I26" s="546">
        <f>AF15</f>
        <v>44</v>
      </c>
      <c r="J26" s="547">
        <f>SUM(B26:I26)</f>
        <v>367</v>
      </c>
    </row>
    <row r="27" spans="1:33" s="21" customFormat="1" ht="18.75" customHeight="1" x14ac:dyDescent="0.15">
      <c r="A27" s="564" t="s">
        <v>436</v>
      </c>
      <c r="B27" s="549">
        <f>B26/B$36</f>
        <v>3.3847980997624705E-2</v>
      </c>
      <c r="C27" s="549">
        <f t="shared" ref="C27:J27" si="11">C26/C$36</f>
        <v>1.2012012012012012E-2</v>
      </c>
      <c r="D27" s="549">
        <f t="shared" si="11"/>
        <v>2.6885735623599701E-2</v>
      </c>
      <c r="E27" s="549">
        <f t="shared" si="11"/>
        <v>2.2762951334379906E-2</v>
      </c>
      <c r="F27" s="549">
        <f t="shared" si="11"/>
        <v>2.6079869600651995E-2</v>
      </c>
      <c r="G27" s="549">
        <f t="shared" si="11"/>
        <v>2.771936532211814E-2</v>
      </c>
      <c r="H27" s="549">
        <f t="shared" si="11"/>
        <v>0</v>
      </c>
      <c r="I27" s="549">
        <f t="shared" si="11"/>
        <v>2.1174205967276226E-2</v>
      </c>
      <c r="J27" s="549">
        <f t="shared" si="11"/>
        <v>2.4479722518676628E-2</v>
      </c>
    </row>
    <row r="28" spans="1:33" s="21" customFormat="1" ht="18.75" customHeight="1" x14ac:dyDescent="0.15">
      <c r="A28" s="563" t="s">
        <v>437</v>
      </c>
      <c r="B28" s="546">
        <f>SUM(N16:P16)</f>
        <v>36</v>
      </c>
      <c r="C28" s="546">
        <f>SUM(Q16:R16)</f>
        <v>38</v>
      </c>
      <c r="D28" s="546">
        <f>SUM(S16:V16)</f>
        <v>20</v>
      </c>
      <c r="E28" s="546">
        <f>SUM(W16:Y16)</f>
        <v>23</v>
      </c>
      <c r="F28" s="546">
        <f>SUM(Z16:AA16)</f>
        <v>33</v>
      </c>
      <c r="G28" s="546">
        <f>SUM(AB16:AD16)</f>
        <v>123</v>
      </c>
      <c r="H28" s="546">
        <f>AE16</f>
        <v>0</v>
      </c>
      <c r="I28" s="546">
        <f>AF16</f>
        <v>38</v>
      </c>
      <c r="J28" s="547">
        <f>SUM(B28:I28)</f>
        <v>311</v>
      </c>
    </row>
    <row r="29" spans="1:33" s="21" customFormat="1" ht="18.75" customHeight="1" x14ac:dyDescent="0.15">
      <c r="A29" s="564" t="s">
        <v>438</v>
      </c>
      <c r="B29" s="549">
        <f>B28/B$36</f>
        <v>2.1377672209026127E-2</v>
      </c>
      <c r="C29" s="549">
        <f t="shared" ref="C29:J29" si="12">C28/C$36</f>
        <v>1.9019019019019021E-2</v>
      </c>
      <c r="D29" s="549">
        <f t="shared" si="12"/>
        <v>1.4936519790888723E-2</v>
      </c>
      <c r="E29" s="549">
        <f t="shared" si="12"/>
        <v>1.8053375196232339E-2</v>
      </c>
      <c r="F29" s="549">
        <f t="shared" si="12"/>
        <v>2.6894865525672371E-2</v>
      </c>
      <c r="G29" s="549">
        <f t="shared" si="12"/>
        <v>2.3513668514624355E-2</v>
      </c>
      <c r="H29" s="549">
        <f t="shared" si="12"/>
        <v>0</v>
      </c>
      <c r="I29" s="549">
        <f t="shared" si="12"/>
        <v>1.8286814244465831E-2</v>
      </c>
      <c r="J29" s="549">
        <f t="shared" si="12"/>
        <v>2.0744397011739593E-2</v>
      </c>
    </row>
    <row r="30" spans="1:33" s="21" customFormat="1" ht="18.75" customHeight="1" x14ac:dyDescent="0.15">
      <c r="A30" s="563" t="s">
        <v>439</v>
      </c>
      <c r="B30" s="546">
        <f>SUM(N17:P17)</f>
        <v>27</v>
      </c>
      <c r="C30" s="546">
        <f>SUM(Q17:R17)</f>
        <v>27</v>
      </c>
      <c r="D30" s="546">
        <f>SUM(S17:V17)</f>
        <v>27</v>
      </c>
      <c r="E30" s="546">
        <f>SUM(W17:Y17)</f>
        <v>20</v>
      </c>
      <c r="F30" s="546">
        <f>SUM(Z17:AA17)</f>
        <v>21</v>
      </c>
      <c r="G30" s="546">
        <f>SUM(AB17:AD17)</f>
        <v>101</v>
      </c>
      <c r="H30" s="546">
        <f>AE17</f>
        <v>0</v>
      </c>
      <c r="I30" s="546">
        <f>AF17</f>
        <v>34</v>
      </c>
      <c r="J30" s="547">
        <f>SUM(B30:I30)</f>
        <v>257</v>
      </c>
    </row>
    <row r="31" spans="1:33" s="21" customFormat="1" ht="18.75" customHeight="1" x14ac:dyDescent="0.15">
      <c r="A31" s="564" t="s">
        <v>440</v>
      </c>
      <c r="B31" s="549">
        <f>B30/B$36</f>
        <v>1.6033254156769598E-2</v>
      </c>
      <c r="C31" s="549">
        <f t="shared" ref="C31:J31" si="13">C30/C$36</f>
        <v>1.3513513513513514E-2</v>
      </c>
      <c r="D31" s="549">
        <f t="shared" si="13"/>
        <v>2.0164301717699777E-2</v>
      </c>
      <c r="E31" s="549">
        <f t="shared" si="13"/>
        <v>1.5698587127158554E-2</v>
      </c>
      <c r="F31" s="549">
        <f t="shared" si="13"/>
        <v>1.7114914425427872E-2</v>
      </c>
      <c r="G31" s="549">
        <f t="shared" si="13"/>
        <v>1.9307971707130566E-2</v>
      </c>
      <c r="H31" s="549">
        <f t="shared" si="13"/>
        <v>0</v>
      </c>
      <c r="I31" s="549">
        <f t="shared" si="13"/>
        <v>1.6361886429258902E-2</v>
      </c>
      <c r="J31" s="549">
        <f t="shared" si="13"/>
        <v>1.7142475987193168E-2</v>
      </c>
    </row>
    <row r="32" spans="1:33" s="21" customFormat="1" ht="18.75" customHeight="1" x14ac:dyDescent="0.15">
      <c r="A32" s="563" t="s">
        <v>441</v>
      </c>
      <c r="B32" s="546">
        <f>SUM(N18:P18)</f>
        <v>184</v>
      </c>
      <c r="C32" s="546">
        <f>SUM(Q18:R18)</f>
        <v>161</v>
      </c>
      <c r="D32" s="546">
        <f>SUM(S18:V18)</f>
        <v>105</v>
      </c>
      <c r="E32" s="546">
        <f>SUM(W18:Y18)</f>
        <v>79</v>
      </c>
      <c r="F32" s="546">
        <f>SUM(Z18:AA18)</f>
        <v>145</v>
      </c>
      <c r="G32" s="546">
        <f>SUM(AB18:AD18)</f>
        <v>521</v>
      </c>
      <c r="H32" s="546">
        <f>AE18</f>
        <v>0</v>
      </c>
      <c r="I32" s="546">
        <f>AF18</f>
        <v>200</v>
      </c>
      <c r="J32" s="547">
        <f>SUM(B32:I32)</f>
        <v>1395</v>
      </c>
    </row>
    <row r="33" spans="1:10" s="21" customFormat="1" ht="18.75" customHeight="1" x14ac:dyDescent="0.15">
      <c r="A33" s="564" t="s">
        <v>442</v>
      </c>
      <c r="B33" s="549">
        <f>B32/B$36</f>
        <v>0.10926365795724466</v>
      </c>
      <c r="C33" s="549">
        <f t="shared" ref="C33:J33" si="14">C32/C$36</f>
        <v>8.0580580580580582E-2</v>
      </c>
      <c r="D33" s="549">
        <f t="shared" si="14"/>
        <v>7.8416728902165792E-2</v>
      </c>
      <c r="E33" s="549">
        <f t="shared" si="14"/>
        <v>6.2009419152276292E-2</v>
      </c>
      <c r="F33" s="549">
        <f t="shared" si="14"/>
        <v>0.11817440912795436</v>
      </c>
      <c r="G33" s="549">
        <f t="shared" si="14"/>
        <v>9.9598547122921044E-2</v>
      </c>
      <c r="H33" s="549">
        <f t="shared" si="14"/>
        <v>0</v>
      </c>
      <c r="I33" s="549">
        <f t="shared" si="14"/>
        <v>9.6246390760346481E-2</v>
      </c>
      <c r="J33" s="549">
        <f t="shared" si="14"/>
        <v>9.3049626467449312E-2</v>
      </c>
    </row>
    <row r="34" spans="1:10" s="21" customFormat="1" ht="18.75" customHeight="1" x14ac:dyDescent="0.15">
      <c r="A34" s="976" t="s">
        <v>61</v>
      </c>
      <c r="B34" s="546">
        <f>SUM(N19:P19)</f>
        <v>123</v>
      </c>
      <c r="C34" s="546">
        <f>SUM(Q19:R19)</f>
        <v>69</v>
      </c>
      <c r="D34" s="546">
        <f>SUM(S19:V19)</f>
        <v>56</v>
      </c>
      <c r="E34" s="546">
        <f>SUM(W19:Y19)</f>
        <v>45</v>
      </c>
      <c r="F34" s="546">
        <f>SUM(Z19:AA19)</f>
        <v>75</v>
      </c>
      <c r="G34" s="546">
        <f>SUM(AB19:AD19)</f>
        <v>278</v>
      </c>
      <c r="H34" s="546">
        <f>AE19</f>
        <v>0</v>
      </c>
      <c r="I34" s="546">
        <f>AF19</f>
        <v>180</v>
      </c>
      <c r="J34" s="547">
        <f>SUM(B34:I34)</f>
        <v>826</v>
      </c>
    </row>
    <row r="35" spans="1:10" s="21" customFormat="1" ht="18.75" customHeight="1" x14ac:dyDescent="0.15">
      <c r="A35" s="969"/>
      <c r="B35" s="549">
        <f>B34/B$36</f>
        <v>7.3040380047505932E-2</v>
      </c>
      <c r="C35" s="549">
        <f t="shared" ref="C35:J35" si="15">C34/C$36</f>
        <v>3.4534534534534533E-2</v>
      </c>
      <c r="D35" s="549">
        <f t="shared" si="15"/>
        <v>4.1822255414488425E-2</v>
      </c>
      <c r="E35" s="549">
        <f t="shared" si="15"/>
        <v>3.5321821036106753E-2</v>
      </c>
      <c r="F35" s="549">
        <f t="shared" si="15"/>
        <v>6.1124694376528114E-2</v>
      </c>
      <c r="G35" s="549">
        <f t="shared" si="15"/>
        <v>5.314471420378513E-2</v>
      </c>
      <c r="H35" s="549">
        <f t="shared" si="15"/>
        <v>0</v>
      </c>
      <c r="I35" s="549">
        <f t="shared" si="15"/>
        <v>8.662175168431184E-2</v>
      </c>
      <c r="J35" s="549">
        <f t="shared" si="15"/>
        <v>5.5096051227321238E-2</v>
      </c>
    </row>
    <row r="36" spans="1:10" s="21" customFormat="1" ht="18.75" customHeight="1" x14ac:dyDescent="0.15">
      <c r="A36" s="971" t="s">
        <v>161</v>
      </c>
      <c r="B36" s="550">
        <f>SUM(B4,B6,B8,B10,B12,B14,B16,B18,B20,B22,B24,B26,B28,B30,B32,B34)</f>
        <v>1684</v>
      </c>
      <c r="C36" s="550">
        <f t="shared" ref="C36:J36" si="16">SUM(C4,C6,C8,C10,C12,C14,C16,C18,C20,C22,C24,C26,C28,C30,C32,C34)</f>
        <v>1998</v>
      </c>
      <c r="D36" s="550">
        <f t="shared" si="16"/>
        <v>1339</v>
      </c>
      <c r="E36" s="550">
        <f t="shared" si="16"/>
        <v>1274</v>
      </c>
      <c r="F36" s="550">
        <f t="shared" si="16"/>
        <v>1227</v>
      </c>
      <c r="G36" s="550">
        <f t="shared" si="16"/>
        <v>5231</v>
      </c>
      <c r="H36" s="550">
        <f t="shared" si="16"/>
        <v>161</v>
      </c>
      <c r="I36" s="550">
        <f t="shared" si="16"/>
        <v>2078</v>
      </c>
      <c r="J36" s="551">
        <f t="shared" si="16"/>
        <v>14992</v>
      </c>
    </row>
    <row r="37" spans="1:10" s="21" customFormat="1" ht="18.75" customHeight="1" x14ac:dyDescent="0.15">
      <c r="A37" s="969"/>
      <c r="B37" s="552">
        <f t="shared" ref="B37:J37" si="17">SUM(B5,B7,B9,B11,B13,B15,B17,B19,B21,B23,B25,B27,B29,B31,B33,B35)</f>
        <v>1</v>
      </c>
      <c r="C37" s="552">
        <f t="shared" si="17"/>
        <v>0.99999999999999978</v>
      </c>
      <c r="D37" s="552">
        <f t="shared" si="17"/>
        <v>1.0000000000000002</v>
      </c>
      <c r="E37" s="552">
        <f t="shared" si="17"/>
        <v>1</v>
      </c>
      <c r="F37" s="552">
        <f t="shared" si="17"/>
        <v>1</v>
      </c>
      <c r="G37" s="552">
        <f t="shared" si="17"/>
        <v>1</v>
      </c>
      <c r="H37" s="552">
        <f t="shared" si="17"/>
        <v>1</v>
      </c>
      <c r="I37" s="552">
        <f t="shared" si="17"/>
        <v>1</v>
      </c>
      <c r="J37" s="552">
        <f t="shared" si="17"/>
        <v>0.99999999999999989</v>
      </c>
    </row>
    <row r="38" spans="1:10" s="6" customFormat="1" ht="18.75" customHeight="1" x14ac:dyDescent="0.15">
      <c r="A38" s="976" t="s">
        <v>56</v>
      </c>
      <c r="B38" s="546">
        <f>SUM(B4,B6,B8,B10)</f>
        <v>671</v>
      </c>
      <c r="C38" s="546">
        <f t="shared" ref="C38:I38" si="18">SUM(C4,C6,C8,C10)</f>
        <v>884</v>
      </c>
      <c r="D38" s="546">
        <f t="shared" si="18"/>
        <v>609</v>
      </c>
      <c r="E38" s="546">
        <f t="shared" si="18"/>
        <v>707</v>
      </c>
      <c r="F38" s="546">
        <f t="shared" si="18"/>
        <v>470</v>
      </c>
      <c r="G38" s="546">
        <f t="shared" si="18"/>
        <v>1722</v>
      </c>
      <c r="H38" s="546">
        <f t="shared" si="18"/>
        <v>160</v>
      </c>
      <c r="I38" s="546">
        <f t="shared" si="18"/>
        <v>1005</v>
      </c>
      <c r="J38" s="546">
        <f t="shared" ref="J38" si="19">SUM(B38:I38)</f>
        <v>6228</v>
      </c>
    </row>
    <row r="39" spans="1:10" s="6" customFormat="1" ht="18.75" customHeight="1" x14ac:dyDescent="0.15">
      <c r="A39" s="969"/>
      <c r="B39" s="549">
        <f>B38/B$36</f>
        <v>0.39845605700712589</v>
      </c>
      <c r="C39" s="549">
        <f t="shared" ref="C39:J45" si="20">C38/C$36</f>
        <v>0.44244244244244246</v>
      </c>
      <c r="D39" s="549">
        <f t="shared" si="20"/>
        <v>0.4548170276325616</v>
      </c>
      <c r="E39" s="549">
        <f t="shared" si="20"/>
        <v>0.55494505494505497</v>
      </c>
      <c r="F39" s="549">
        <f t="shared" si="20"/>
        <v>0.38304808475957619</v>
      </c>
      <c r="G39" s="549">
        <f t="shared" si="20"/>
        <v>0.32919135920474096</v>
      </c>
      <c r="H39" s="549">
        <f t="shared" si="20"/>
        <v>0.99378881987577639</v>
      </c>
      <c r="I39" s="549">
        <f t="shared" si="20"/>
        <v>0.4836381135707411</v>
      </c>
      <c r="J39" s="549">
        <f t="shared" si="20"/>
        <v>0.41542155816435433</v>
      </c>
    </row>
    <row r="40" spans="1:10" s="21" customFormat="1" ht="18.75" customHeight="1" x14ac:dyDescent="0.15">
      <c r="A40" s="565" t="s">
        <v>443</v>
      </c>
      <c r="B40" s="546">
        <f>SUM(B12,B14,B16,B18,B20)</f>
        <v>457</v>
      </c>
      <c r="C40" s="546">
        <f t="shared" ref="C40:I40" si="21">SUM(C12,C14,C16,C18,C20)</f>
        <v>677</v>
      </c>
      <c r="D40" s="546">
        <f t="shared" si="21"/>
        <v>403</v>
      </c>
      <c r="E40" s="546">
        <f t="shared" si="21"/>
        <v>301</v>
      </c>
      <c r="F40" s="546">
        <f t="shared" si="21"/>
        <v>367</v>
      </c>
      <c r="G40" s="546">
        <f t="shared" si="21"/>
        <v>1948</v>
      </c>
      <c r="H40" s="546">
        <f t="shared" si="21"/>
        <v>1</v>
      </c>
      <c r="I40" s="546">
        <f t="shared" si="21"/>
        <v>480</v>
      </c>
      <c r="J40" s="546">
        <f t="shared" ref="J40" si="22">SUM(B40:I40)</f>
        <v>4634</v>
      </c>
    </row>
    <row r="41" spans="1:10" s="21" customFormat="1" ht="18.75" customHeight="1" x14ac:dyDescent="0.15">
      <c r="A41" s="566" t="s">
        <v>444</v>
      </c>
      <c r="B41" s="549">
        <f>B40/B$36</f>
        <v>0.27137767220902614</v>
      </c>
      <c r="C41" s="549">
        <f t="shared" ref="C41:I41" si="23">C40/C$36</f>
        <v>0.33883883883883886</v>
      </c>
      <c r="D41" s="549">
        <f t="shared" si="23"/>
        <v>0.30097087378640774</v>
      </c>
      <c r="E41" s="549">
        <f t="shared" si="23"/>
        <v>0.23626373626373626</v>
      </c>
      <c r="F41" s="549">
        <f t="shared" si="23"/>
        <v>0.29910350448247758</v>
      </c>
      <c r="G41" s="549">
        <f t="shared" si="23"/>
        <v>0.37239533549990439</v>
      </c>
      <c r="H41" s="549">
        <f t="shared" si="23"/>
        <v>6.2111801242236021E-3</v>
      </c>
      <c r="I41" s="549">
        <f t="shared" si="23"/>
        <v>0.23099133782483156</v>
      </c>
      <c r="J41" s="549">
        <f t="shared" si="20"/>
        <v>0.30909818569903946</v>
      </c>
    </row>
    <row r="42" spans="1:10" s="6" customFormat="1" ht="18.75" customHeight="1" x14ac:dyDescent="0.15">
      <c r="A42" s="565" t="s">
        <v>445</v>
      </c>
      <c r="B42" s="546">
        <f>SUM(B22,B24,B26,B28,B30)</f>
        <v>249</v>
      </c>
      <c r="C42" s="546">
        <f t="shared" ref="C42:I42" si="24">SUM(C22,C24,C26,C28,C30)</f>
        <v>207</v>
      </c>
      <c r="D42" s="546">
        <f t="shared" si="24"/>
        <v>166</v>
      </c>
      <c r="E42" s="546">
        <f t="shared" si="24"/>
        <v>142</v>
      </c>
      <c r="F42" s="546">
        <f t="shared" si="24"/>
        <v>170</v>
      </c>
      <c r="G42" s="546">
        <f t="shared" si="24"/>
        <v>762</v>
      </c>
      <c r="H42" s="546">
        <f t="shared" si="24"/>
        <v>0</v>
      </c>
      <c r="I42" s="546">
        <f t="shared" si="24"/>
        <v>213</v>
      </c>
      <c r="J42" s="546">
        <f t="shared" ref="J42" si="25">SUM(B42:I42)</f>
        <v>1909</v>
      </c>
    </row>
    <row r="43" spans="1:10" s="6" customFormat="1" ht="18.75" customHeight="1" x14ac:dyDescent="0.15">
      <c r="A43" s="567" t="s">
        <v>446</v>
      </c>
      <c r="B43" s="549">
        <f>B42/B$36</f>
        <v>0.14786223277909738</v>
      </c>
      <c r="C43" s="549">
        <f t="shared" ref="C43:I43" si="26">C42/C$36</f>
        <v>0.1036036036036036</v>
      </c>
      <c r="D43" s="549">
        <f t="shared" si="26"/>
        <v>0.12397311426437641</v>
      </c>
      <c r="E43" s="549">
        <f t="shared" si="26"/>
        <v>0.11145996860282574</v>
      </c>
      <c r="F43" s="549">
        <f t="shared" si="26"/>
        <v>0.13854930725346373</v>
      </c>
      <c r="G43" s="549">
        <f t="shared" si="26"/>
        <v>0.14567004396864844</v>
      </c>
      <c r="H43" s="549">
        <f t="shared" si="26"/>
        <v>0</v>
      </c>
      <c r="I43" s="549">
        <f t="shared" si="26"/>
        <v>0.10250240615976901</v>
      </c>
      <c r="J43" s="549">
        <f t="shared" si="20"/>
        <v>0.12733457844183566</v>
      </c>
    </row>
    <row r="44" spans="1:10" s="21" customFormat="1" ht="18.75" customHeight="1" x14ac:dyDescent="0.15">
      <c r="A44" s="976" t="s">
        <v>447</v>
      </c>
      <c r="B44" s="546">
        <f>SUM(B32,B34)</f>
        <v>307</v>
      </c>
      <c r="C44" s="546">
        <f t="shared" ref="C44:I44" si="27">SUM(C32,C34)</f>
        <v>230</v>
      </c>
      <c r="D44" s="546">
        <f t="shared" si="27"/>
        <v>161</v>
      </c>
      <c r="E44" s="546">
        <f t="shared" si="27"/>
        <v>124</v>
      </c>
      <c r="F44" s="546">
        <f t="shared" si="27"/>
        <v>220</v>
      </c>
      <c r="G44" s="546">
        <f t="shared" si="27"/>
        <v>799</v>
      </c>
      <c r="H44" s="546">
        <f t="shared" si="27"/>
        <v>0</v>
      </c>
      <c r="I44" s="546">
        <f t="shared" si="27"/>
        <v>380</v>
      </c>
      <c r="J44" s="546">
        <f t="shared" ref="J44" si="28">SUM(B44:I44)</f>
        <v>2221</v>
      </c>
    </row>
    <row r="45" spans="1:10" s="21" customFormat="1" ht="18.75" customHeight="1" x14ac:dyDescent="0.15">
      <c r="A45" s="969"/>
      <c r="B45" s="549">
        <f>B44/B$36</f>
        <v>0.18230403800475059</v>
      </c>
      <c r="C45" s="549">
        <f t="shared" ref="C45:I45" si="29">C44/C$36</f>
        <v>0.11511511511511512</v>
      </c>
      <c r="D45" s="549">
        <f t="shared" si="29"/>
        <v>0.12023898431665422</v>
      </c>
      <c r="E45" s="549">
        <f t="shared" si="29"/>
        <v>9.7331240188383045E-2</v>
      </c>
      <c r="F45" s="549">
        <f t="shared" si="29"/>
        <v>0.17929910350448247</v>
      </c>
      <c r="G45" s="549">
        <f t="shared" si="29"/>
        <v>0.15274326132670618</v>
      </c>
      <c r="H45" s="549">
        <f t="shared" si="29"/>
        <v>0</v>
      </c>
      <c r="I45" s="549">
        <f t="shared" si="29"/>
        <v>0.18286814244465832</v>
      </c>
      <c r="J45" s="549">
        <f t="shared" si="20"/>
        <v>0.14814567769477055</v>
      </c>
    </row>
    <row r="46" spans="1:10" x14ac:dyDescent="0.15">
      <c r="B46" s="39">
        <f>SUM(B38,B40,B42,B44)</f>
        <v>1684</v>
      </c>
      <c r="C46" s="39">
        <f t="shared" ref="C46:I46" si="30">SUM(C38,C40,C42,C44)</f>
        <v>1998</v>
      </c>
      <c r="D46" s="39">
        <f t="shared" si="30"/>
        <v>1339</v>
      </c>
      <c r="E46" s="39">
        <f t="shared" si="30"/>
        <v>1274</v>
      </c>
      <c r="F46" s="39">
        <f t="shared" si="30"/>
        <v>1227</v>
      </c>
      <c r="G46" s="39">
        <f>SUM(G38,G40,G42,G44)</f>
        <v>5231</v>
      </c>
      <c r="H46" s="39">
        <f t="shared" si="30"/>
        <v>161</v>
      </c>
      <c r="I46" s="39">
        <f t="shared" si="30"/>
        <v>2078</v>
      </c>
    </row>
    <row r="47" spans="1:10" x14ac:dyDescent="0.15">
      <c r="B47" s="39"/>
      <c r="C47" s="39"/>
      <c r="D47" s="39"/>
      <c r="E47" s="39"/>
      <c r="F47" s="39"/>
      <c r="G47" s="39"/>
      <c r="H47" s="39"/>
      <c r="I47" s="39"/>
    </row>
  </sheetData>
  <mergeCells count="5">
    <mergeCell ref="A4:A5"/>
    <mergeCell ref="A34:A35"/>
    <mergeCell ref="A36:A37"/>
    <mergeCell ref="A38:A39"/>
    <mergeCell ref="A44:A45"/>
  </mergeCells>
  <phoneticPr fontId="2"/>
  <printOptions horizontalCentered="1"/>
  <pageMargins left="0.70866141732283472" right="0.70866141732283472" top="0.74803149606299213" bottom="0.74803149606299213"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9937" r:id="rId4" name="Button 1">
              <controlPr defaultSize="0" print="0" autoFill="0" autoPict="0" macro="[0]!データ削除28">
                <anchor moveWithCells="1" sizeWithCells="1">
                  <from>
                    <xdr:col>20</xdr:col>
                    <xdr:colOff>190500</xdr:colOff>
                    <xdr:row>49</xdr:row>
                    <xdr:rowOff>28575</xdr:rowOff>
                  </from>
                  <to>
                    <xdr:col>22</xdr:col>
                    <xdr:colOff>733425</xdr:colOff>
                    <xdr:row>52</xdr:row>
                    <xdr:rowOff>28575</xdr:rowOff>
                  </to>
                </anchor>
              </controlPr>
            </control>
          </mc:Choice>
        </mc:AlternateContent>
        <mc:AlternateContent xmlns:mc="http://schemas.openxmlformats.org/markup-compatibility/2006">
          <mc:Choice Requires="x14">
            <control shapeId="39939" r:id="rId5" name="Button 3">
              <controlPr defaultSize="0" print="0" autoFill="0" autoPict="0" macro="[0]!データ削除_在院期間区分病院所在地">
                <anchor moveWithCells="1" sizeWithCells="1">
                  <from>
                    <xdr:col>11</xdr:col>
                    <xdr:colOff>304800</xdr:colOff>
                    <xdr:row>21</xdr:row>
                    <xdr:rowOff>57150</xdr:rowOff>
                  </from>
                  <to>
                    <xdr:col>13</xdr:col>
                    <xdr:colOff>657225</xdr:colOff>
                    <xdr:row>23</xdr:row>
                    <xdr:rowOff>161925</xdr:rowOff>
                  </to>
                </anchor>
              </controlPr>
            </control>
          </mc:Choice>
        </mc:AlternateContent>
      </controls>
    </mc:Choice>
  </mc:AlternateContent>
  <tableParts count="1">
    <tablePart r:id="rId6"/>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6" tint="-0.249977111117893"/>
  </sheetPr>
  <dimension ref="A1:T22"/>
  <sheetViews>
    <sheetView showGridLines="0" view="pageBreakPreview" zoomScale="90" zoomScaleNormal="100" zoomScaleSheetLayoutView="90" workbookViewId="0">
      <selection activeCell="G1" sqref="G1:O1048576"/>
    </sheetView>
  </sheetViews>
  <sheetFormatPr defaultRowHeight="18.75" x14ac:dyDescent="0.15"/>
  <cols>
    <col min="1" max="1" width="22.125" style="1" customWidth="1"/>
    <col min="2" max="4" width="9" style="1" customWidth="1"/>
    <col min="5" max="5" width="9.5" style="1" bestFit="1" customWidth="1"/>
    <col min="6" max="6" width="5.875" style="1" bestFit="1" customWidth="1"/>
    <col min="7" max="7" width="20.75" style="1" hidden="1" customWidth="1"/>
    <col min="8" max="8" width="7.75" style="1" hidden="1" customWidth="1"/>
    <col min="9" max="9" width="5" style="1" hidden="1" customWidth="1"/>
    <col min="10" max="10" width="15.25" style="1" hidden="1" customWidth="1"/>
    <col min="11" max="11" width="13.875" style="1" hidden="1" customWidth="1"/>
    <col min="12" max="12" width="20.375" style="1" hidden="1" customWidth="1"/>
    <col min="13" max="13" width="5" style="1" hidden="1" customWidth="1"/>
    <col min="14" max="14" width="6.625" style="1" hidden="1" customWidth="1"/>
    <col min="15" max="15" width="7.375" style="1" hidden="1" customWidth="1"/>
    <col min="16" max="16384" width="9" style="1"/>
  </cols>
  <sheetData>
    <row r="1" spans="1:20" s="3" customFormat="1" ht="19.5" x14ac:dyDescent="0.15">
      <c r="A1" s="2" t="s">
        <v>118</v>
      </c>
    </row>
    <row r="2" spans="1:20" x14ac:dyDescent="0.15">
      <c r="A2" s="4"/>
      <c r="G2" s="55" t="s">
        <v>63</v>
      </c>
    </row>
    <row r="3" spans="1:20" s="3" customFormat="1" ht="18" customHeight="1" thickBot="1" x14ac:dyDescent="0.2">
      <c r="A3" s="4" t="s">
        <v>13</v>
      </c>
      <c r="G3" s="383" t="s">
        <v>281</v>
      </c>
      <c r="H3" s="480" t="s">
        <v>349</v>
      </c>
      <c r="I3" s="1"/>
      <c r="J3" s="1"/>
    </row>
    <row r="4" spans="1:20" ht="15.75" customHeight="1" thickTop="1" thickBot="1" x14ac:dyDescent="0.2">
      <c r="A4" s="255"/>
      <c r="B4" s="255" t="s">
        <v>0</v>
      </c>
      <c r="C4" s="255" t="s">
        <v>1</v>
      </c>
      <c r="G4" s="415" t="s">
        <v>373</v>
      </c>
      <c r="H4" s="37" t="s">
        <v>612</v>
      </c>
      <c r="J4" s="36"/>
    </row>
    <row r="5" spans="1:20" ht="19.5" thickTop="1" x14ac:dyDescent="0.15">
      <c r="A5" s="294" t="s">
        <v>14</v>
      </c>
      <c r="B5" s="258">
        <f>IFERROR(VLOOKUP("措置入院",入院形態[#All],2,FALSE),0)+IFERROR(VLOOKUP("緊急措置入院",入院形態[#All],2,FALSE),0)</f>
        <v>93</v>
      </c>
      <c r="C5" s="296">
        <f>IFERROR(B5/B$10,"-")</f>
        <v>6.2033084311632868E-3</v>
      </c>
      <c r="G5" s="39" t="s">
        <v>16</v>
      </c>
      <c r="H5" s="40">
        <v>6428</v>
      </c>
      <c r="J5" s="41"/>
    </row>
    <row r="6" spans="1:20" x14ac:dyDescent="0.15">
      <c r="A6" s="294" t="s">
        <v>15</v>
      </c>
      <c r="B6" s="258">
        <f>IFERROR(VLOOKUP(A6,入院形態[#All],2,FALSE),0)</f>
        <v>8428</v>
      </c>
      <c r="C6" s="296">
        <f t="shared" ref="C6:C9" si="0">IFERROR(B6/B$10,"-")</f>
        <v>0.56216648879402353</v>
      </c>
      <c r="G6" s="39" t="s">
        <v>613</v>
      </c>
      <c r="H6" s="483">
        <v>92</v>
      </c>
      <c r="J6" s="41"/>
    </row>
    <row r="7" spans="1:20" x14ac:dyDescent="0.15">
      <c r="A7" s="294" t="s">
        <v>16</v>
      </c>
      <c r="B7" s="258">
        <f>IFERROR(VLOOKUP(A7,入院形態[#All],2,FALSE),0)</f>
        <v>6428</v>
      </c>
      <c r="C7" s="296">
        <f t="shared" si="0"/>
        <v>0.42876200640341516</v>
      </c>
      <c r="G7" s="39" t="s">
        <v>614</v>
      </c>
      <c r="H7" s="40">
        <v>6</v>
      </c>
      <c r="J7" s="41"/>
    </row>
    <row r="8" spans="1:20" x14ac:dyDescent="0.15">
      <c r="A8" s="294" t="s">
        <v>17</v>
      </c>
      <c r="B8" s="258">
        <f>IFERROR(VLOOKUP(A8,入院形態[#All],2,FALSE),0)</f>
        <v>2</v>
      </c>
      <c r="C8" s="296">
        <f t="shared" si="0"/>
        <v>1.3340448239060833E-4</v>
      </c>
      <c r="G8" s="39" t="s">
        <v>17</v>
      </c>
      <c r="H8" s="40">
        <v>2</v>
      </c>
      <c r="J8" s="41"/>
    </row>
    <row r="9" spans="1:20" x14ac:dyDescent="0.15">
      <c r="A9" s="294" t="s">
        <v>18</v>
      </c>
      <c r="B9" s="258">
        <f>IFERROR(VLOOKUP("鑑定入院",入院形態[#All],2,FALSE),0)+IFERROR(VLOOKUP("医療観察法による入院",入院形態[#All],2,FALSE),0)+IFERROR(VLOOKUP("不明",入院形態[#All],2,FALSE),0)</f>
        <v>41</v>
      </c>
      <c r="C9" s="296">
        <f t="shared" si="0"/>
        <v>2.7347918890074708E-3</v>
      </c>
      <c r="G9" s="39" t="s">
        <v>15</v>
      </c>
      <c r="H9" s="40">
        <v>8428</v>
      </c>
    </row>
    <row r="10" spans="1:20" x14ac:dyDescent="0.15">
      <c r="A10" s="297" t="s">
        <v>11</v>
      </c>
      <c r="B10" s="259">
        <f>SUM(B5:B9)</f>
        <v>14992</v>
      </c>
      <c r="C10" s="260">
        <f>SUM(C5:C9)</f>
        <v>1</v>
      </c>
      <c r="G10" s="42" t="s">
        <v>615</v>
      </c>
      <c r="H10" s="40">
        <v>34</v>
      </c>
    </row>
    <row r="11" spans="1:20" x14ac:dyDescent="0.15">
      <c r="A11" s="37"/>
      <c r="B11" s="43"/>
      <c r="C11" s="44"/>
      <c r="G11" s="42" t="s">
        <v>374</v>
      </c>
      <c r="H11" s="40">
        <v>1</v>
      </c>
    </row>
    <row r="12" spans="1:20" x14ac:dyDescent="0.15">
      <c r="A12" s="37"/>
      <c r="B12" s="43"/>
      <c r="C12" s="44"/>
      <c r="G12" s="39" t="s">
        <v>375</v>
      </c>
      <c r="H12" s="40">
        <v>1</v>
      </c>
    </row>
    <row r="13" spans="1:20" ht="19.5" thickBot="1" x14ac:dyDescent="0.2">
      <c r="A13" s="37"/>
      <c r="B13" s="43"/>
      <c r="C13" s="44"/>
      <c r="G13" s="482" t="s">
        <v>281</v>
      </c>
      <c r="H13" s="480" t="s">
        <v>28</v>
      </c>
      <c r="J13" s="482" t="s">
        <v>281</v>
      </c>
      <c r="K13" s="480" t="s">
        <v>282</v>
      </c>
    </row>
    <row r="14" spans="1:20" s="3" customFormat="1" ht="21" thickTop="1" thickBot="1" x14ac:dyDescent="0.2">
      <c r="A14" s="4" t="s">
        <v>113</v>
      </c>
      <c r="G14" s="415" t="s">
        <v>373</v>
      </c>
      <c r="H14" s="37" t="s">
        <v>612</v>
      </c>
      <c r="J14" s="415" t="s">
        <v>373</v>
      </c>
      <c r="K14" s="37" t="s">
        <v>612</v>
      </c>
    </row>
    <row r="15" spans="1:20" ht="16.5" customHeight="1" thickTop="1" x14ac:dyDescent="0.15">
      <c r="A15" s="255"/>
      <c r="B15" s="255" t="s">
        <v>114</v>
      </c>
      <c r="C15" s="255" t="s">
        <v>116</v>
      </c>
      <c r="D15" s="255" t="s">
        <v>12</v>
      </c>
      <c r="E15" s="255" t="s">
        <v>1</v>
      </c>
      <c r="G15" s="39" t="s">
        <v>16</v>
      </c>
      <c r="H15" s="40">
        <v>230</v>
      </c>
      <c r="J15" s="39" t="s">
        <v>16</v>
      </c>
      <c r="K15" s="40">
        <v>817</v>
      </c>
      <c r="L15" s="46"/>
    </row>
    <row r="16" spans="1:20" x14ac:dyDescent="0.15">
      <c r="A16" s="294" t="s">
        <v>14</v>
      </c>
      <c r="B16" s="256">
        <f>IFERROR(VLOOKUP("措置入院",入院形態_寛解[#All],2,FALSE),0)+IFERROR(VLOOKUP("緊急措置入院",入院形態_寛解[#All],2,FALSE),0)</f>
        <v>0</v>
      </c>
      <c r="C16" s="256">
        <f>IFERROR(VLOOKUP("措置入院",入院形態_院内寛解[#All],2,FALSE),0)+IFERROR(VLOOKUP("緊急措置入院",入院形態_院内寛解[#All],2,FALSE),0)</f>
        <v>9</v>
      </c>
      <c r="D16" s="256">
        <f>SUM(B16:C16)</f>
        <v>9</v>
      </c>
      <c r="E16" s="296">
        <f>IFERROR(D16/D$21,"-")</f>
        <v>5.4315027157513579E-3</v>
      </c>
      <c r="G16" s="39" t="s">
        <v>613</v>
      </c>
      <c r="H16" s="47">
        <v>0</v>
      </c>
      <c r="I16" s="21"/>
      <c r="J16" s="39" t="s">
        <v>613</v>
      </c>
      <c r="K16" s="47">
        <v>8</v>
      </c>
      <c r="L16" s="48"/>
      <c r="M16" s="21"/>
      <c r="N16" s="21"/>
      <c r="O16" s="21"/>
      <c r="P16" s="21"/>
      <c r="Q16" s="21"/>
      <c r="R16" s="21"/>
      <c r="S16" s="21"/>
      <c r="T16" s="21"/>
    </row>
    <row r="17" spans="1:20" x14ac:dyDescent="0.15">
      <c r="A17" s="294" t="s">
        <v>15</v>
      </c>
      <c r="B17" s="256">
        <f>IFERROR(VLOOKUP(A17,入院形態_寛解[#All],2,FALSE),0)</f>
        <v>146</v>
      </c>
      <c r="C17" s="256">
        <f>IFERROR(VLOOKUP(A17,入院形態_院内寛解[#All],2,FALSE),0)</f>
        <v>449</v>
      </c>
      <c r="D17" s="256">
        <f t="shared" ref="D17:D20" si="1">SUM(B17:C17)</f>
        <v>595</v>
      </c>
      <c r="E17" s="296">
        <f t="shared" ref="E17:E20" si="2">IFERROR(D17/D$21,"-")</f>
        <v>0.35908267954133977</v>
      </c>
      <c r="G17" s="39" t="s">
        <v>614</v>
      </c>
      <c r="H17" s="47">
        <v>2</v>
      </c>
      <c r="I17" s="21"/>
      <c r="J17" s="39" t="s">
        <v>614</v>
      </c>
      <c r="K17" s="47">
        <v>0</v>
      </c>
      <c r="L17" s="48"/>
      <c r="M17" s="21"/>
      <c r="N17" s="21"/>
      <c r="O17" s="21"/>
      <c r="P17" s="21"/>
      <c r="Q17" s="21"/>
      <c r="R17" s="21"/>
      <c r="S17" s="21"/>
      <c r="T17" s="21"/>
    </row>
    <row r="18" spans="1:20" x14ac:dyDescent="0.15">
      <c r="A18" s="294" t="s">
        <v>16</v>
      </c>
      <c r="B18" s="256">
        <f>IFERROR(VLOOKUP(A18,入院形態_寛解[#All],2,FALSE),0)</f>
        <v>230</v>
      </c>
      <c r="C18" s="256">
        <f>IFERROR(VLOOKUP(A18,入院形態_院内寛解[#All],2,FALSE),0)</f>
        <v>817</v>
      </c>
      <c r="D18" s="256">
        <f t="shared" si="1"/>
        <v>1047</v>
      </c>
      <c r="E18" s="296">
        <f t="shared" si="2"/>
        <v>0.63186481593240795</v>
      </c>
      <c r="G18" s="39" t="s">
        <v>17</v>
      </c>
      <c r="H18" s="47">
        <v>0</v>
      </c>
      <c r="I18" s="21"/>
      <c r="J18" s="39" t="s">
        <v>17</v>
      </c>
      <c r="K18" s="47">
        <v>0</v>
      </c>
      <c r="L18" s="48"/>
      <c r="M18" s="21"/>
      <c r="N18" s="21"/>
      <c r="O18" s="21"/>
      <c r="P18" s="21"/>
      <c r="Q18" s="21"/>
      <c r="R18" s="21"/>
      <c r="S18" s="21"/>
      <c r="T18" s="21"/>
    </row>
    <row r="19" spans="1:20" x14ac:dyDescent="0.15">
      <c r="A19" s="294" t="s">
        <v>17</v>
      </c>
      <c r="B19" s="256">
        <f>IFERROR(VLOOKUP(A19,入院形態_寛解[#All],2,FALSE),0)</f>
        <v>0</v>
      </c>
      <c r="C19" s="256">
        <f>IFERROR(VLOOKUP(A19,入院形態_院内寛解[#All],2,FALSE),0)</f>
        <v>0</v>
      </c>
      <c r="D19" s="256">
        <f t="shared" si="1"/>
        <v>0</v>
      </c>
      <c r="E19" s="296">
        <f t="shared" si="2"/>
        <v>0</v>
      </c>
      <c r="G19" s="39" t="s">
        <v>15</v>
      </c>
      <c r="H19" s="47">
        <v>146</v>
      </c>
      <c r="I19" s="21"/>
      <c r="J19" s="39" t="s">
        <v>15</v>
      </c>
      <c r="K19" s="47">
        <v>449</v>
      </c>
      <c r="L19" s="48"/>
      <c r="M19" s="21"/>
      <c r="N19" s="21"/>
      <c r="O19" s="21"/>
      <c r="P19" s="21"/>
      <c r="Q19" s="21"/>
      <c r="R19" s="21"/>
      <c r="S19" s="21"/>
      <c r="T19" s="21"/>
    </row>
    <row r="20" spans="1:20" x14ac:dyDescent="0.15">
      <c r="A20" s="294" t="s">
        <v>18</v>
      </c>
      <c r="B20" s="258">
        <f>IFERROR(VLOOKUP("鑑定入院",入院形態_寛解[#All],2,FALSE),0)+IFERROR(VLOOKUP("医療観察法による入院",入院形態_寛解[#All],2,FALSE),0)+IFERROR(VLOOKUP("不明",入院形態_寛解[#All],2,FALSE),0)</f>
        <v>3</v>
      </c>
      <c r="C20" s="258">
        <f>IFERROR(VLOOKUP("鑑定入院",入院形態_院内寛解[#All],2,FALSE),0)+IFERROR(VLOOKUP("医療観察法による入院",入院形態_院内寛解[#All],2,FALSE),0)+IFERROR(VLOOKUP("不明",入院形態_院内寛解[#All],2,FALSE),0)</f>
        <v>3</v>
      </c>
      <c r="D20" s="256">
        <f t="shared" si="1"/>
        <v>6</v>
      </c>
      <c r="E20" s="296">
        <f t="shared" si="2"/>
        <v>3.6210018105009051E-3</v>
      </c>
      <c r="G20" s="42" t="s">
        <v>615</v>
      </c>
      <c r="H20" s="47">
        <v>1</v>
      </c>
      <c r="J20" s="42" t="s">
        <v>615</v>
      </c>
      <c r="K20" s="47">
        <v>3</v>
      </c>
      <c r="L20" s="51"/>
    </row>
    <row r="21" spans="1:20" x14ac:dyDescent="0.15">
      <c r="A21" s="297" t="s">
        <v>11</v>
      </c>
      <c r="B21" s="259">
        <f>SUM(B16:B20)</f>
        <v>379</v>
      </c>
      <c r="C21" s="259">
        <f>SUM(C16:C20)</f>
        <v>1278</v>
      </c>
      <c r="D21" s="259">
        <f>SUM(D16:D20)</f>
        <v>1657</v>
      </c>
      <c r="E21" s="260">
        <f>SUM(E16:E20)</f>
        <v>1</v>
      </c>
      <c r="G21" s="42" t="s">
        <v>374</v>
      </c>
      <c r="H21" s="47">
        <v>0</v>
      </c>
      <c r="J21" s="42" t="s">
        <v>374</v>
      </c>
      <c r="K21" s="47">
        <v>1</v>
      </c>
    </row>
    <row r="22" spans="1:20" x14ac:dyDescent="0.15">
      <c r="G22" s="39" t="s">
        <v>375</v>
      </c>
      <c r="H22" s="47">
        <v>0</v>
      </c>
      <c r="J22" s="39" t="s">
        <v>375</v>
      </c>
      <c r="K22" s="47">
        <v>0</v>
      </c>
    </row>
  </sheetData>
  <phoneticPr fontId="2"/>
  <pageMargins left="0.70866141732283472" right="0.70866141732283472" top="0.74803149606299213" bottom="0.74803149606299213" header="0.31496062992125984" footer="0.31496062992125984"/>
  <pageSetup paperSize="11" scale="8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Button 1">
              <controlPr defaultSize="0" print="0" autoFill="0" autoPict="0" macro="[0]!データ削除_入院形態">
                <anchor moveWithCells="1" sizeWithCells="1">
                  <from>
                    <xdr:col>11</xdr:col>
                    <xdr:colOff>533400</xdr:colOff>
                    <xdr:row>2</xdr:row>
                    <xdr:rowOff>152400</xdr:rowOff>
                  </from>
                  <to>
                    <xdr:col>13</xdr:col>
                    <xdr:colOff>285750</xdr:colOff>
                    <xdr:row>5</xdr:row>
                    <xdr:rowOff>9525</xdr:rowOff>
                  </to>
                </anchor>
              </controlPr>
            </control>
          </mc:Choice>
        </mc:AlternateContent>
      </controls>
    </mc:Choice>
  </mc:AlternateContent>
  <tableParts count="3">
    <tablePart r:id="rId5"/>
    <tablePart r:id="rId6"/>
    <tablePart r:id="rId7"/>
  </tablePart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8">
    <tabColor theme="9" tint="-0.499984740745262"/>
    <pageSetUpPr fitToPage="1"/>
  </sheetPr>
  <dimension ref="A1:BB38"/>
  <sheetViews>
    <sheetView showGridLines="0" view="pageBreakPreview" topLeftCell="B1" zoomScale="90" zoomScaleNormal="80" zoomScaleSheetLayoutView="90" workbookViewId="0">
      <selection activeCell="L1" sqref="L1:BB1048576"/>
    </sheetView>
  </sheetViews>
  <sheetFormatPr defaultColWidth="13.75" defaultRowHeight="18.75" x14ac:dyDescent="0.15"/>
  <cols>
    <col min="1" max="1" width="10" style="537" customWidth="1"/>
    <col min="2" max="10" width="8.75" style="537" customWidth="1"/>
    <col min="11" max="11" width="7.5" style="537" customWidth="1"/>
    <col min="12" max="12" width="7.5" style="537" hidden="1" customWidth="1"/>
    <col min="13" max="13" width="10" style="537" hidden="1" customWidth="1"/>
    <col min="14" max="14" width="10.75" style="537" hidden="1" customWidth="1"/>
    <col min="15" max="16" width="12.5" style="537" hidden="1" customWidth="1"/>
    <col min="17" max="17" width="8.875" style="537" hidden="1" customWidth="1"/>
    <col min="18" max="18" width="12.5" style="537" hidden="1" customWidth="1"/>
    <col min="19" max="19" width="14.25" style="537" hidden="1" customWidth="1"/>
    <col min="20" max="20" width="16.125" style="537" hidden="1" customWidth="1"/>
    <col min="21" max="22" width="12.5" style="537" hidden="1" customWidth="1"/>
    <col min="23" max="23" width="16.125" style="537" hidden="1" customWidth="1"/>
    <col min="24" max="24" width="14.25" style="537" hidden="1" customWidth="1"/>
    <col min="25" max="27" width="12.5" style="537" hidden="1" customWidth="1"/>
    <col min="28" max="31" width="10.75" style="537" hidden="1" customWidth="1"/>
    <col min="32" max="32" width="8.875" style="537" hidden="1" customWidth="1"/>
    <col min="33" max="34" width="13.75" style="537" hidden="1" customWidth="1"/>
    <col min="35" max="54" width="0" style="537" hidden="1" customWidth="1"/>
    <col min="55" max="16384" width="13.75" style="537"/>
  </cols>
  <sheetData>
    <row r="1" spans="1:54" s="3" customFormat="1" ht="19.5" x14ac:dyDescent="0.15">
      <c r="A1" s="2" t="s">
        <v>448</v>
      </c>
    </row>
    <row r="2" spans="1:54" ht="19.5" thickBot="1" x14ac:dyDescent="0.2">
      <c r="A2" s="4"/>
      <c r="AJ2" s="850" t="s">
        <v>395</v>
      </c>
      <c r="AK2" s="850" t="s">
        <v>396</v>
      </c>
      <c r="AL2" s="850" t="s">
        <v>397</v>
      </c>
      <c r="AM2" s="850" t="s">
        <v>398</v>
      </c>
      <c r="AN2" s="850" t="s">
        <v>399</v>
      </c>
      <c r="AO2" s="850" t="s">
        <v>400</v>
      </c>
      <c r="AP2" s="850" t="s">
        <v>401</v>
      </c>
      <c r="AQ2" s="850" t="s">
        <v>402</v>
      </c>
      <c r="AR2" s="850" t="s">
        <v>403</v>
      </c>
      <c r="AS2" s="850" t="s">
        <v>404</v>
      </c>
      <c r="AT2" s="850" t="s">
        <v>565</v>
      </c>
      <c r="AU2" s="850" t="s">
        <v>566</v>
      </c>
      <c r="AV2" s="850" t="s">
        <v>567</v>
      </c>
      <c r="AW2" s="850" t="s">
        <v>568</v>
      </c>
      <c r="AX2" s="850" t="s">
        <v>569</v>
      </c>
      <c r="AY2" s="850" t="s">
        <v>570</v>
      </c>
      <c r="AZ2" s="850" t="s">
        <v>571</v>
      </c>
      <c r="BA2" s="850" t="s">
        <v>572</v>
      </c>
      <c r="BB2" s="850" t="s">
        <v>573</v>
      </c>
    </row>
    <row r="3" spans="1:54" ht="18.75" customHeight="1" thickTop="1" thickBot="1" x14ac:dyDescent="0.2">
      <c r="A3" s="545"/>
      <c r="B3" s="545" t="s">
        <v>387</v>
      </c>
      <c r="C3" s="545" t="s">
        <v>388</v>
      </c>
      <c r="D3" s="545" t="s">
        <v>389</v>
      </c>
      <c r="E3" s="545" t="s">
        <v>390</v>
      </c>
      <c r="F3" s="545" t="s">
        <v>391</v>
      </c>
      <c r="G3" s="545" t="s">
        <v>392</v>
      </c>
      <c r="H3" s="545" t="s">
        <v>393</v>
      </c>
      <c r="I3" s="545" t="s">
        <v>394</v>
      </c>
      <c r="J3" s="545" t="s">
        <v>62</v>
      </c>
      <c r="M3" s="728" t="s">
        <v>373</v>
      </c>
      <c r="N3" s="623" t="s">
        <v>395</v>
      </c>
      <c r="O3" s="623" t="s">
        <v>396</v>
      </c>
      <c r="P3" s="623" t="s">
        <v>397</v>
      </c>
      <c r="Q3" s="623" t="s">
        <v>398</v>
      </c>
      <c r="R3" s="623" t="s">
        <v>399</v>
      </c>
      <c r="S3" s="623" t="s">
        <v>400</v>
      </c>
      <c r="T3" s="623" t="s">
        <v>401</v>
      </c>
      <c r="U3" s="623" t="s">
        <v>402</v>
      </c>
      <c r="V3" s="623" t="s">
        <v>403</v>
      </c>
      <c r="W3" s="623" t="s">
        <v>404</v>
      </c>
      <c r="X3" s="623" t="s">
        <v>565</v>
      </c>
      <c r="Y3" s="623" t="s">
        <v>566</v>
      </c>
      <c r="Z3" s="623" t="s">
        <v>567</v>
      </c>
      <c r="AA3" s="623" t="s">
        <v>568</v>
      </c>
      <c r="AB3" s="623" t="s">
        <v>569</v>
      </c>
      <c r="AC3" s="623" t="s">
        <v>570</v>
      </c>
      <c r="AD3" s="623" t="s">
        <v>571</v>
      </c>
      <c r="AE3" s="623" t="s">
        <v>572</v>
      </c>
      <c r="AF3" s="619" t="s">
        <v>573</v>
      </c>
      <c r="AG3" s="623" t="s">
        <v>607</v>
      </c>
      <c r="AH3" s="623"/>
    </row>
    <row r="4" spans="1:54" s="21" customFormat="1" ht="18.75" customHeight="1" thickTop="1" thickBot="1" x14ac:dyDescent="0.2">
      <c r="A4" s="968" t="s">
        <v>28</v>
      </c>
      <c r="B4" s="546">
        <f>AJ5</f>
        <v>46</v>
      </c>
      <c r="C4" s="546">
        <f t="shared" ref="C4:I4" si="0">AK5</f>
        <v>80</v>
      </c>
      <c r="D4" s="546">
        <f t="shared" si="0"/>
        <v>60</v>
      </c>
      <c r="E4" s="546">
        <f t="shared" si="0"/>
        <v>58</v>
      </c>
      <c r="F4" s="546">
        <f t="shared" si="0"/>
        <v>17</v>
      </c>
      <c r="G4" s="546">
        <f t="shared" si="0"/>
        <v>54</v>
      </c>
      <c r="H4" s="546">
        <f t="shared" si="0"/>
        <v>40</v>
      </c>
      <c r="I4" s="546">
        <f t="shared" si="0"/>
        <v>24</v>
      </c>
      <c r="J4" s="547">
        <f>SUM(B4:I4)</f>
        <v>379</v>
      </c>
      <c r="M4" s="619">
        <v>1</v>
      </c>
      <c r="N4" s="624"/>
      <c r="O4" s="624">
        <v>29</v>
      </c>
      <c r="P4" s="624">
        <v>17</v>
      </c>
      <c r="Q4" s="624">
        <v>23</v>
      </c>
      <c r="R4" s="624">
        <v>57</v>
      </c>
      <c r="S4" s="624">
        <v>15</v>
      </c>
      <c r="T4" s="624">
        <v>27</v>
      </c>
      <c r="U4" s="624">
        <v>18</v>
      </c>
      <c r="V4" s="624"/>
      <c r="W4" s="624">
        <v>26</v>
      </c>
      <c r="X4" s="624">
        <v>32</v>
      </c>
      <c r="Y4" s="624"/>
      <c r="Z4" s="624"/>
      <c r="AA4" s="624">
        <v>17</v>
      </c>
      <c r="AB4" s="624">
        <v>34</v>
      </c>
      <c r="AC4" s="624">
        <v>17</v>
      </c>
      <c r="AD4" s="624">
        <v>3</v>
      </c>
      <c r="AE4" s="624">
        <v>40</v>
      </c>
      <c r="AF4" s="625">
        <v>24</v>
      </c>
      <c r="AG4" s="626"/>
      <c r="AH4" s="626"/>
      <c r="AI4" s="851"/>
      <c r="AJ4" s="852" t="s">
        <v>387</v>
      </c>
      <c r="AK4" s="853" t="s">
        <v>388</v>
      </c>
      <c r="AL4" s="853" t="s">
        <v>389</v>
      </c>
      <c r="AM4" s="853" t="s">
        <v>390</v>
      </c>
      <c r="AN4" s="853" t="s">
        <v>391</v>
      </c>
      <c r="AO4" s="853" t="s">
        <v>392</v>
      </c>
      <c r="AP4" s="853" t="s">
        <v>393</v>
      </c>
      <c r="AQ4" s="854" t="s">
        <v>394</v>
      </c>
    </row>
    <row r="5" spans="1:54" s="21" customFormat="1" ht="18.75" customHeight="1" x14ac:dyDescent="0.15">
      <c r="A5" s="969"/>
      <c r="B5" s="549">
        <f>B4/B$16</f>
        <v>2.7315914489311165E-2</v>
      </c>
      <c r="C5" s="549">
        <f t="shared" ref="C5:J5" si="1">C4/C$16</f>
        <v>4.004004004004004E-2</v>
      </c>
      <c r="D5" s="549">
        <f t="shared" si="1"/>
        <v>4.4809559372666168E-2</v>
      </c>
      <c r="E5" s="549">
        <f t="shared" si="1"/>
        <v>4.5525902668759811E-2</v>
      </c>
      <c r="F5" s="549">
        <f t="shared" si="1"/>
        <v>1.3854930725346373E-2</v>
      </c>
      <c r="G5" s="549">
        <f t="shared" si="1"/>
        <v>1.0323073982030204E-2</v>
      </c>
      <c r="H5" s="549">
        <f t="shared" si="1"/>
        <v>0.2484472049689441</v>
      </c>
      <c r="I5" s="549">
        <f t="shared" si="1"/>
        <v>1.1549566891241578E-2</v>
      </c>
      <c r="J5" s="549">
        <f t="shared" si="1"/>
        <v>2.5280149413020276E-2</v>
      </c>
      <c r="M5" s="619">
        <v>2</v>
      </c>
      <c r="N5" s="624">
        <v>25</v>
      </c>
      <c r="O5" s="624">
        <v>81</v>
      </c>
      <c r="P5" s="624">
        <v>43</v>
      </c>
      <c r="Q5" s="624">
        <v>44</v>
      </c>
      <c r="R5" s="624">
        <v>67</v>
      </c>
      <c r="S5" s="624">
        <v>69</v>
      </c>
      <c r="T5" s="624">
        <v>45</v>
      </c>
      <c r="U5" s="624">
        <v>6</v>
      </c>
      <c r="V5" s="624">
        <v>17</v>
      </c>
      <c r="W5" s="624">
        <v>83</v>
      </c>
      <c r="X5" s="624">
        <v>95</v>
      </c>
      <c r="Y5" s="624">
        <v>10</v>
      </c>
      <c r="Z5" s="624">
        <v>17</v>
      </c>
      <c r="AA5" s="624">
        <v>81</v>
      </c>
      <c r="AB5" s="624">
        <v>197</v>
      </c>
      <c r="AC5" s="624">
        <v>157</v>
      </c>
      <c r="AD5" s="624">
        <v>37</v>
      </c>
      <c r="AE5" s="624">
        <v>16</v>
      </c>
      <c r="AF5" s="625">
        <v>188</v>
      </c>
      <c r="AG5" s="626"/>
      <c r="AH5" s="626"/>
      <c r="AI5" s="855">
        <v>1</v>
      </c>
      <c r="AJ5" s="856">
        <f>IFERROR(INDEX(状態像区分病院所在地[#All],MATCH(1,状態像区分病院所在地[[#All],[行ラベル]]),MATCH($AJ$2,状態像区分病院所在地[#Headers],0)),0)+IFERROR(INDEX(状態像区分病院所在地[#All],MATCH(1,状態像区分病院所在地[[#All],[行ラベル]]),MATCH($AK$2,状態像区分病院所在地[#Headers],0)),0)+IFERROR(INDEX(状態像区分病院所在地[#All],MATCH(1,状態像区分病院所在地[[#All],[行ラベル]]),MATCH($AL$2,状態像区分病院所在地[#Headers],0)),0)</f>
        <v>46</v>
      </c>
      <c r="AK5" s="857">
        <f>IFERROR(INDEX(状態像区分病院所在地[#All],MATCH(1,状態像区分病院所在地[[#All],[行ラベル]]),MATCH($AM$2,状態像区分病院所在地[#Headers],0)),0)+IFERROR(INDEX(状態像区分病院所在地[#All],MATCH(1,状態像区分病院所在地[[#All],[行ラベル]]),MATCH($AN$2,状態像区分病院所在地[#Headers],0)),0)</f>
        <v>80</v>
      </c>
      <c r="AL5" s="857">
        <f>IFERROR(INDEX(状態像区分病院所在地[#All],MATCH(1,状態像区分病院所在地[[#All],[行ラベル]]),MATCH($AO$2,状態像区分病院所在地[#Headers],0)),0)+IFERROR(INDEX(状態像区分病院所在地[#All],MATCH(1,状態像区分病院所在地[[#All],[行ラベル]]),MATCH($AP$2,状態像区分病院所在地[#Headers],0)),0)+IFERROR(INDEX(状態像区分病院所在地[#All],MATCH(1,状態像区分病院所在地[[#All],[行ラベル]]),MATCH($AQ$2,状態像区分病院所在地[#Headers],0)),0)+IFERROR(INDEX(状態像区分病院所在地[#All],MATCH(1,状態像区分病院所在地[[#All],[行ラベル]]),MATCH($AR$2,状態像区分病院所在地[#Headers],0)),0)</f>
        <v>60</v>
      </c>
      <c r="AM5" s="857">
        <f>IFERROR(INDEX(状態像区分病院所在地[#All],MATCH(1,状態像区分病院所在地[[#All],[行ラベル]]),MATCH($AS$2,状態像区分病院所在地[#Headers],0)),0)+IFERROR(INDEX(状態像区分病院所在地[#All],MATCH(1,状態像区分病院所在地[[#All],[行ラベル]]),MATCH($AT$2,状態像区分病院所在地[#Headers],0)),0)+IFERROR(INDEX(状態像区分病院所在地[#All],MATCH(1,状態像区分病院所在地[[#All],[行ラベル]]),MATCH($AU$2,状態像区分病院所在地[#Headers],0)),0)</f>
        <v>58</v>
      </c>
      <c r="AN5" s="857">
        <f>IFERROR(INDEX(状態像区分病院所在地[#All],MATCH(1,状態像区分病院所在地[[#All],[行ラベル]]),MATCH($AV$2,状態像区分病院所在地[#Headers],0)),0)+IFERROR(INDEX(状態像区分病院所在地[#All],MATCH(1,状態像区分病院所在地[[#All],[行ラベル]]),MATCH($AW$2,状態像区分病院所在地[#Headers],0)),0)</f>
        <v>17</v>
      </c>
      <c r="AO5" s="857">
        <f>IFERROR(INDEX(状態像区分病院所在地[#All],MATCH(1,状態像区分病院所在地[[#All],[行ラベル]]),MATCH($AX$2,状態像区分病院所在地[#Headers],0)),0)+IFERROR(INDEX(状態像区分病院所在地[#All],MATCH(1,状態像区分病院所在地[[#All],[行ラベル]]),MATCH($AY$2,状態像区分病院所在地[#Headers],0)),0)+IFERROR(INDEX(状態像区分病院所在地[#All],MATCH(1,状態像区分病院所在地[[#All],[行ラベル]]),MATCH($AZ$2,状態像区分病院所在地[#Headers],0)),0)</f>
        <v>54</v>
      </c>
      <c r="AP5" s="857">
        <f>IFERROR(INDEX(状態像区分病院所在地[#All],MATCH(1,状態像区分病院所在地[[#All],[行ラベル]]),MATCH($BA$2,状態像区分病院所在地[#Headers],0)),0)</f>
        <v>40</v>
      </c>
      <c r="AQ5" s="857">
        <f>IFERROR(INDEX(状態像区分病院所在地[#All],MATCH(1,状態像区分病院所在地[[#All],[行ラベル]]),MATCH($BB$2,状態像区分病院所在地[#Headers],0)),0)</f>
        <v>24</v>
      </c>
    </row>
    <row r="6" spans="1:54" s="21" customFormat="1" ht="18.75" customHeight="1" x14ac:dyDescent="0.15">
      <c r="A6" s="968" t="s">
        <v>29</v>
      </c>
      <c r="B6" s="546">
        <f>AJ6</f>
        <v>149</v>
      </c>
      <c r="C6" s="546">
        <f t="shared" ref="C6:I6" si="2">AK6</f>
        <v>111</v>
      </c>
      <c r="D6" s="546">
        <f t="shared" si="2"/>
        <v>137</v>
      </c>
      <c r="E6" s="546">
        <f t="shared" si="2"/>
        <v>188</v>
      </c>
      <c r="F6" s="546">
        <f t="shared" si="2"/>
        <v>98</v>
      </c>
      <c r="G6" s="546">
        <f t="shared" si="2"/>
        <v>391</v>
      </c>
      <c r="H6" s="546">
        <f t="shared" si="2"/>
        <v>16</v>
      </c>
      <c r="I6" s="546">
        <f t="shared" si="2"/>
        <v>188</v>
      </c>
      <c r="J6" s="547">
        <f>SUM(B6:I6)</f>
        <v>1278</v>
      </c>
      <c r="M6" s="619">
        <v>3</v>
      </c>
      <c r="N6" s="624">
        <v>85</v>
      </c>
      <c r="O6" s="624">
        <v>141</v>
      </c>
      <c r="P6" s="624">
        <v>44</v>
      </c>
      <c r="Q6" s="624">
        <v>97</v>
      </c>
      <c r="R6" s="624">
        <v>133</v>
      </c>
      <c r="S6" s="624">
        <v>129</v>
      </c>
      <c r="T6" s="624">
        <v>60</v>
      </c>
      <c r="U6" s="624">
        <v>40</v>
      </c>
      <c r="V6" s="624">
        <v>34</v>
      </c>
      <c r="W6" s="624">
        <v>261</v>
      </c>
      <c r="X6" s="624">
        <v>95</v>
      </c>
      <c r="Y6" s="624">
        <v>27</v>
      </c>
      <c r="Z6" s="624">
        <v>127</v>
      </c>
      <c r="AA6" s="624">
        <v>165</v>
      </c>
      <c r="AB6" s="624">
        <v>397</v>
      </c>
      <c r="AC6" s="624">
        <v>395</v>
      </c>
      <c r="AD6" s="624">
        <v>219</v>
      </c>
      <c r="AE6" s="624">
        <v>32</v>
      </c>
      <c r="AF6" s="625">
        <v>478</v>
      </c>
      <c r="AG6" s="626"/>
      <c r="AH6" s="626"/>
      <c r="AI6" s="858">
        <v>2</v>
      </c>
      <c r="AJ6" s="859">
        <f>IFERROR(INDEX(状態像区分病院所在地[#All],MATCH(2,状態像区分病院所在地[[#All],[行ラベル]]),MATCH($AJ$2,状態像区分病院所在地[#Headers],0)),0)+IFERROR(INDEX(状態像区分病院所在地[#All],MATCH(2,状態像区分病院所在地[[#All],[行ラベル]]),MATCH($AK$2,状態像区分病院所在地[#Headers],0)),0)+IFERROR(INDEX(状態像区分病院所在地[#All],MATCH(2,状態像区分病院所在地[[#All],[行ラベル]]),MATCH($AL$2,状態像区分病院所在地[#Headers],0)),0)</f>
        <v>149</v>
      </c>
      <c r="AK6" s="860">
        <f>IFERROR(INDEX(状態像区分病院所在地[#All],MATCH(2,状態像区分病院所在地[[#All],[行ラベル]]),MATCH($AM$2,状態像区分病院所在地[#Headers],0)),0)+IFERROR(INDEX(状態像区分病院所在地[#All],MATCH(2,状態像区分病院所在地[[#All],[行ラベル]]),MATCH($AN$2,状態像区分病院所在地[#Headers],0)),0)</f>
        <v>111</v>
      </c>
      <c r="AL6" s="860">
        <f>IFERROR(INDEX(状態像区分病院所在地[#All],MATCH(2,状態像区分病院所在地[[#All],[行ラベル]]),MATCH($AO$2,状態像区分病院所在地[#Headers],0)),0)+IFERROR(INDEX(状態像区分病院所在地[#All],MATCH(2,状態像区分病院所在地[[#All],[行ラベル]]),MATCH($AP$2,状態像区分病院所在地[#Headers],0)),0)+IFERROR(INDEX(状態像区分病院所在地[#All],MATCH(2,状態像区分病院所在地[[#All],[行ラベル]]),MATCH($AQ$2,状態像区分病院所在地[#Headers],0)),0)+IFERROR(INDEX(状態像区分病院所在地[#All],MATCH(2,状態像区分病院所在地[[#All],[行ラベル]]),MATCH($AR$2,状態像区分病院所在地[#Headers],0)),0)</f>
        <v>137</v>
      </c>
      <c r="AM6" s="860">
        <f>IFERROR(INDEX(状態像区分病院所在地[#All],MATCH(2,状態像区分病院所在地[[#All],[行ラベル]]),MATCH($AS$2,状態像区分病院所在地[#Headers],0)),0)+IFERROR(INDEX(状態像区分病院所在地[#All],MATCH(2,状態像区分病院所在地[[#All],[行ラベル]]),MATCH($AT$2,状態像区分病院所在地[#Headers],0)),0)+IFERROR(INDEX(状態像区分病院所在地[#All],MATCH(2,状態像区分病院所在地[[#All],[行ラベル]]),MATCH($AU$2,状態像区分病院所在地[#Headers],0)),0)</f>
        <v>188</v>
      </c>
      <c r="AN6" s="860">
        <f>IFERROR(INDEX(状態像区分病院所在地[#All],MATCH(2,状態像区分病院所在地[[#All],[行ラベル]]),MATCH($AV$2,状態像区分病院所在地[#Headers],0)),0)+IFERROR(INDEX(状態像区分病院所在地[#All],MATCH(2,状態像区分病院所在地[[#All],[行ラベル]]),MATCH($AW$2,状態像区分病院所在地[#Headers],0)),0)</f>
        <v>98</v>
      </c>
      <c r="AO6" s="860">
        <f>IFERROR(INDEX(状態像区分病院所在地[#All],MATCH(2,状態像区分病院所在地[[#All],[行ラベル]]),MATCH($AX$2,状態像区分病院所在地[#Headers],0)),0)+IFERROR(INDEX(状態像区分病院所在地[#All],MATCH(2,状態像区分病院所在地[[#All],[行ラベル]]),MATCH($AY$2,状態像区分病院所在地[#Headers],0)),0)+IFERROR(INDEX(状態像区分病院所在地[#All],MATCH(2,状態像区分病院所在地[[#All],[行ラベル]]),MATCH($AZ$2,状態像区分病院所在地[#Headers],0)),0)</f>
        <v>391</v>
      </c>
      <c r="AP6" s="860">
        <f>IFERROR(INDEX(状態像区分病院所在地[#All],MATCH(2,状態像区分病院所在地[[#All],[行ラベル]]),MATCH($BA$2,状態像区分病院所在地[#Headers],0)),0)</f>
        <v>16</v>
      </c>
      <c r="AQ6" s="860">
        <f>IFERROR(INDEX(状態像区分病院所在地[#All],MATCH(2,状態像区分病院所在地[[#All],[行ラベル]]),MATCH($BB$2,状態像区分病院所在地[#Headers],0)),0)</f>
        <v>188</v>
      </c>
    </row>
    <row r="7" spans="1:54" s="21" customFormat="1" ht="18.75" customHeight="1" x14ac:dyDescent="0.15">
      <c r="A7" s="969"/>
      <c r="B7" s="549">
        <f>B6/B$16</f>
        <v>8.8479809976247034E-2</v>
      </c>
      <c r="C7" s="549">
        <f t="shared" ref="C7:J7" si="3">C6/C$16</f>
        <v>5.5555555555555552E-2</v>
      </c>
      <c r="D7" s="549">
        <f t="shared" si="3"/>
        <v>0.10231516056758776</v>
      </c>
      <c r="E7" s="549">
        <f t="shared" si="3"/>
        <v>0.14756671899529042</v>
      </c>
      <c r="F7" s="549">
        <f t="shared" si="3"/>
        <v>7.9869600651996733E-2</v>
      </c>
      <c r="G7" s="549">
        <f t="shared" si="3"/>
        <v>7.474670235136685E-2</v>
      </c>
      <c r="H7" s="549">
        <f t="shared" si="3"/>
        <v>9.9378881987577633E-2</v>
      </c>
      <c r="I7" s="549">
        <f t="shared" si="3"/>
        <v>9.0471607314725699E-2</v>
      </c>
      <c r="J7" s="549">
        <f t="shared" si="3"/>
        <v>8.5245464247598726E-2</v>
      </c>
      <c r="M7" s="619">
        <v>4</v>
      </c>
      <c r="N7" s="624">
        <v>253</v>
      </c>
      <c r="O7" s="624">
        <v>333</v>
      </c>
      <c r="P7" s="624">
        <v>93</v>
      </c>
      <c r="Q7" s="624">
        <v>562</v>
      </c>
      <c r="R7" s="624">
        <v>253</v>
      </c>
      <c r="S7" s="624">
        <v>228</v>
      </c>
      <c r="T7" s="624">
        <v>60</v>
      </c>
      <c r="U7" s="624">
        <v>92</v>
      </c>
      <c r="V7" s="624">
        <v>89</v>
      </c>
      <c r="W7" s="624">
        <v>274</v>
      </c>
      <c r="X7" s="624">
        <v>108</v>
      </c>
      <c r="Y7" s="624">
        <v>66</v>
      </c>
      <c r="Z7" s="624">
        <v>201</v>
      </c>
      <c r="AA7" s="624">
        <v>318</v>
      </c>
      <c r="AB7" s="624">
        <v>407</v>
      </c>
      <c r="AC7" s="624">
        <v>769</v>
      </c>
      <c r="AD7" s="624">
        <v>685</v>
      </c>
      <c r="AE7" s="624">
        <v>45</v>
      </c>
      <c r="AF7" s="625">
        <v>812</v>
      </c>
      <c r="AG7" s="626"/>
      <c r="AH7" s="626"/>
      <c r="AI7" s="858">
        <v>3</v>
      </c>
      <c r="AJ7" s="859">
        <f>IFERROR(INDEX(状態像区分病院所在地[#All],MATCH(3,状態像区分病院所在地[[#All],[行ラベル]]),MATCH($AJ$2,状態像区分病院所在地[#Headers],0)),0)+IFERROR(INDEX(状態像区分病院所在地[#All],MATCH(3,状態像区分病院所在地[[#All],[行ラベル]]),MATCH($AK$2,状態像区分病院所在地[#Headers],0)),0)+IFERROR(INDEX(状態像区分病院所在地[#All],MATCH(3,状態像区分病院所在地[[#All],[行ラベル]]),MATCH($AL$2,状態像区分病院所在地[#Headers],0)),0)</f>
        <v>270</v>
      </c>
      <c r="AK7" s="860">
        <f>IFERROR(INDEX(状態像区分病院所在地[#All],MATCH(3,状態像区分病院所在地[[#All],[行ラベル]]),MATCH($AM$2,状態像区分病院所在地[#Headers],0)),0)+IFERROR(INDEX(状態像区分病院所在地[#All],MATCH(3,状態像区分病院所在地[[#All],[行ラベル]]),MATCH($AN$2,状態像区分病院所在地[#Headers],0)),0)</f>
        <v>230</v>
      </c>
      <c r="AL7" s="860">
        <f>IFERROR(INDEX(状態像区分病院所在地[#All],MATCH(3,状態像区分病院所在地[[#All],[行ラベル]]),MATCH($AO$2,状態像区分病院所在地[#Headers],0)),0)+IFERROR(INDEX(状態像区分病院所在地[#All],MATCH(3,状態像区分病院所在地[[#All],[行ラベル]]),MATCH($AP$2,状態像区分病院所在地[#Headers],0)),0)+IFERROR(INDEX(状態像区分病院所在地[#All],MATCH(3,状態像区分病院所在地[[#All],[行ラベル]]),MATCH($AQ$2,状態像区分病院所在地[#Headers],0)),0)+IFERROR(INDEX(状態像区分病院所在地[#All],MATCH(3,状態像区分病院所在地[[#All],[行ラベル]]),MATCH($AR$2,状態像区分病院所在地[#Headers],0)),0)</f>
        <v>263</v>
      </c>
      <c r="AM7" s="860">
        <f>IFERROR(INDEX(状態像区分病院所在地[#All],MATCH(3,状態像区分病院所在地[[#All],[行ラベル]]),MATCH($AS$2,状態像区分病院所在地[#Headers],0)),0)+IFERROR(INDEX(状態像区分病院所在地[#All],MATCH(3,状態像区分病院所在地[[#All],[行ラベル]]),MATCH($AT$2,状態像区分病院所在地[#Headers],0)),0)+IFERROR(INDEX(状態像区分病院所在地[#All],MATCH(3,状態像区分病院所在地[[#All],[行ラベル]]),MATCH($AU$2,状態像区分病院所在地[#Headers],0)),0)</f>
        <v>383</v>
      </c>
      <c r="AN7" s="860">
        <f>IFERROR(INDEX(状態像区分病院所在地[#All],MATCH(3,状態像区分病院所在地[[#All],[行ラベル]]),MATCH($AV$2,状態像区分病院所在地[#Headers],0)),0)+IFERROR(INDEX(状態像区分病院所在地[#All],MATCH(3,状態像区分病院所在地[[#All],[行ラベル]]),MATCH($AW$2,状態像区分病院所在地[#Headers],0)),0)</f>
        <v>292</v>
      </c>
      <c r="AO7" s="860">
        <f>IFERROR(INDEX(状態像区分病院所在地[#All],MATCH(3,状態像区分病院所在地[[#All],[行ラベル]]),MATCH($AX$2,状態像区分病院所在地[#Headers],0)),0)+IFERROR(INDEX(状態像区分病院所在地[#All],MATCH(3,状態像区分病院所在地[[#All],[行ラベル]]),MATCH($AY$2,状態像区分病院所在地[#Headers],0)),0)+IFERROR(INDEX(状態像区分病院所在地[#All],MATCH(3,状態像区分病院所在地[[#All],[行ラベル]]),MATCH($AZ$2,状態像区分病院所在地[#Headers],0)),0)</f>
        <v>1011</v>
      </c>
      <c r="AP7" s="860">
        <f>IFERROR(INDEX(状態像区分病院所在地[#All],MATCH(3,状態像区分病院所在地[[#All],[行ラベル]]),MATCH($BA$2,状態像区分病院所在地[#Headers],0)),0)</f>
        <v>32</v>
      </c>
      <c r="AQ7" s="860">
        <f>IFERROR(INDEX(状態像区分病院所在地[#All],MATCH(3,状態像区分病院所在地[[#All],[行ラベル]]),MATCH($BB$2,状態像区分病院所在地[#Headers],0)),0)</f>
        <v>478</v>
      </c>
    </row>
    <row r="8" spans="1:54" s="21" customFormat="1" ht="18.75" customHeight="1" x14ac:dyDescent="0.15">
      <c r="A8" s="968" t="s">
        <v>30</v>
      </c>
      <c r="B8" s="546">
        <f>AJ7</f>
        <v>270</v>
      </c>
      <c r="C8" s="546">
        <f t="shared" ref="C8:I8" si="4">AK7</f>
        <v>230</v>
      </c>
      <c r="D8" s="546">
        <f t="shared" si="4"/>
        <v>263</v>
      </c>
      <c r="E8" s="546">
        <f t="shared" si="4"/>
        <v>383</v>
      </c>
      <c r="F8" s="546">
        <f t="shared" si="4"/>
        <v>292</v>
      </c>
      <c r="G8" s="546">
        <f t="shared" si="4"/>
        <v>1011</v>
      </c>
      <c r="H8" s="546">
        <f t="shared" si="4"/>
        <v>32</v>
      </c>
      <c r="I8" s="546">
        <f t="shared" si="4"/>
        <v>478</v>
      </c>
      <c r="J8" s="547">
        <f>SUM(B8:I8)</f>
        <v>2959</v>
      </c>
      <c r="M8" s="619">
        <v>5</v>
      </c>
      <c r="N8" s="624">
        <v>132</v>
      </c>
      <c r="O8" s="624">
        <v>221</v>
      </c>
      <c r="P8" s="624">
        <v>91</v>
      </c>
      <c r="Q8" s="624">
        <v>447</v>
      </c>
      <c r="R8" s="624">
        <v>126</v>
      </c>
      <c r="S8" s="624">
        <v>210</v>
      </c>
      <c r="T8" s="624">
        <v>31</v>
      </c>
      <c r="U8" s="624">
        <v>41</v>
      </c>
      <c r="V8" s="624">
        <v>37</v>
      </c>
      <c r="W8" s="624">
        <v>87</v>
      </c>
      <c r="X8" s="624">
        <v>27</v>
      </c>
      <c r="Y8" s="624">
        <v>56</v>
      </c>
      <c r="Z8" s="624">
        <v>98</v>
      </c>
      <c r="AA8" s="624">
        <v>145</v>
      </c>
      <c r="AB8" s="624">
        <v>565</v>
      </c>
      <c r="AC8" s="624">
        <v>822</v>
      </c>
      <c r="AD8" s="624">
        <v>279</v>
      </c>
      <c r="AE8" s="624">
        <v>28</v>
      </c>
      <c r="AF8" s="625">
        <v>506</v>
      </c>
      <c r="AG8" s="626"/>
      <c r="AH8" s="626"/>
      <c r="AI8" s="858">
        <v>4</v>
      </c>
      <c r="AJ8" s="859">
        <f>IFERROR(INDEX(状態像区分病院所在地[#All],MATCH(4,状態像区分病院所在地[[#All],[行ラベル]]),MATCH($AJ$2,状態像区分病院所在地[#Headers],0)),0)+IFERROR(INDEX(状態像区分病院所在地[#All],MATCH(4,状態像区分病院所在地[[#All],[行ラベル]]),MATCH($AK$2,状態像区分病院所在地[#Headers],0)),0)+IFERROR(INDEX(状態像区分病院所在地[#All],MATCH(4,状態像区分病院所在地[[#All],[行ラベル]]),MATCH($AL$2,状態像区分病院所在地[#Headers],0)),0)</f>
        <v>679</v>
      </c>
      <c r="AK8" s="860">
        <f>IFERROR(INDEX(状態像区分病院所在地[#All],MATCH(4,状態像区分病院所在地[[#All],[行ラベル]]),MATCH($AM$2,状態像区分病院所在地[#Headers],0)),0)+IFERROR(INDEX(状態像区分病院所在地[#All],MATCH(4,状態像区分病院所在地[[#All],[行ラベル]]),MATCH($AN$2,状態像区分病院所在地[#Headers],0)),0)</f>
        <v>815</v>
      </c>
      <c r="AL8" s="860">
        <f>IFERROR(INDEX(状態像区分病院所在地[#All],MATCH(4,状態像区分病院所在地[[#All],[行ラベル]]),MATCH($AO$2,状態像区分病院所在地[#Headers],0)),0)+IFERROR(INDEX(状態像区分病院所在地[#All],MATCH(4,状態像区分病院所在地[[#All],[行ラベル]]),MATCH($AP$2,状態像区分病院所在地[#Headers],0)),0)+IFERROR(INDEX(状態像区分病院所在地[#All],MATCH(4,状態像区分病院所在地[[#All],[行ラベル]]),MATCH($AQ$2,状態像区分病院所在地[#Headers],0)),0)+IFERROR(INDEX(状態像区分病院所在地[#All],MATCH(4,状態像区分病院所在地[[#All],[行ラベル]]),MATCH($AR$2,状態像区分病院所在地[#Headers],0)),0)</f>
        <v>469</v>
      </c>
      <c r="AM8" s="860">
        <f>IFERROR(INDEX(状態像区分病院所在地[#All],MATCH(4,状態像区分病院所在地[[#All],[行ラベル]]),MATCH($AS$2,状態像区分病院所在地[#Headers],0)),0)+IFERROR(INDEX(状態像区分病院所在地[#All],MATCH(4,状態像区分病院所在地[[#All],[行ラベル]]),MATCH($AT$2,状態像区分病院所在地[#Headers],0)),0)+IFERROR(INDEX(状態像区分病院所在地[#All],MATCH(4,状態像区分病院所在地[[#All],[行ラベル]]),MATCH($AU$2,状態像区分病院所在地[#Headers],0)),0)</f>
        <v>448</v>
      </c>
      <c r="AN8" s="860">
        <f>IFERROR(INDEX(状態像区分病院所在地[#All],MATCH(4,状態像区分病院所在地[[#All],[行ラベル]]),MATCH($AV$2,状態像区分病院所在地[#Headers],0)),0)+IFERROR(INDEX(状態像区分病院所在地[#All],MATCH(4,状態像区分病院所在地[[#All],[行ラベル]]),MATCH($AW$2,状態像区分病院所在地[#Headers],0)),0)</f>
        <v>519</v>
      </c>
      <c r="AO8" s="860">
        <f>IFERROR(INDEX(状態像区分病院所在地[#All],MATCH(4,状態像区分病院所在地[[#All],[行ラベル]]),MATCH($AX$2,状態像区分病院所在地[#Headers],0)),0)+IFERROR(INDEX(状態像区分病院所在地[#All],MATCH(4,状態像区分病院所在地[[#All],[行ラベル]]),MATCH($AY$2,状態像区分病院所在地[#Headers],0)),0)+IFERROR(INDEX(状態像区分病院所在地[#All],MATCH(4,状態像区分病院所在地[[#All],[行ラベル]]),MATCH($AZ$2,状態像区分病院所在地[#Headers],0)),0)</f>
        <v>1861</v>
      </c>
      <c r="AP8" s="860">
        <f>IFERROR(INDEX(状態像区分病院所在地[#All],MATCH(4,状態像区分病院所在地[[#All],[行ラベル]]),MATCH($BA$2,状態像区分病院所在地[#Headers],0)),0)</f>
        <v>45</v>
      </c>
      <c r="AQ8" s="860">
        <f>IFERROR(INDEX(状態像区分病院所在地[#All],MATCH(4,状態像区分病院所在地[[#All],[行ラベル]]),MATCH($BB$2,状態像区分病院所在地[#Headers],0)),0)</f>
        <v>812</v>
      </c>
    </row>
    <row r="9" spans="1:54" s="21" customFormat="1" ht="18.75" customHeight="1" x14ac:dyDescent="0.15">
      <c r="A9" s="969"/>
      <c r="B9" s="549">
        <f>B8/B$16</f>
        <v>0.16033254156769597</v>
      </c>
      <c r="C9" s="549">
        <f t="shared" ref="C9:J9" si="5">C8/C$16</f>
        <v>0.11511511511511512</v>
      </c>
      <c r="D9" s="549">
        <f t="shared" si="5"/>
        <v>0.1964152352501867</v>
      </c>
      <c r="E9" s="549">
        <f t="shared" si="5"/>
        <v>0.30062794348508637</v>
      </c>
      <c r="F9" s="549">
        <f t="shared" si="5"/>
        <v>0.23797881010594946</v>
      </c>
      <c r="G9" s="549">
        <f t="shared" si="5"/>
        <v>0.19327088510800994</v>
      </c>
      <c r="H9" s="549">
        <f t="shared" si="5"/>
        <v>0.19875776397515527</v>
      </c>
      <c r="I9" s="549">
        <f t="shared" si="5"/>
        <v>0.23002887391722809</v>
      </c>
      <c r="J9" s="549">
        <f t="shared" si="5"/>
        <v>0.19737193169690501</v>
      </c>
      <c r="M9" s="619">
        <v>6</v>
      </c>
      <c r="N9" s="624">
        <v>35</v>
      </c>
      <c r="O9" s="624">
        <v>45</v>
      </c>
      <c r="P9" s="624">
        <v>16</v>
      </c>
      <c r="Q9" s="624">
        <v>177</v>
      </c>
      <c r="R9" s="624">
        <v>12</v>
      </c>
      <c r="S9" s="624">
        <v>53</v>
      </c>
      <c r="T9" s="624">
        <v>4</v>
      </c>
      <c r="U9" s="624">
        <v>22</v>
      </c>
      <c r="V9" s="624">
        <v>12</v>
      </c>
      <c r="W9" s="624">
        <v>4</v>
      </c>
      <c r="X9" s="624">
        <v>1</v>
      </c>
      <c r="Y9" s="624">
        <v>22</v>
      </c>
      <c r="Z9" s="624">
        <v>19</v>
      </c>
      <c r="AA9" s="624">
        <v>39</v>
      </c>
      <c r="AB9" s="624">
        <v>46</v>
      </c>
      <c r="AC9" s="624">
        <v>175</v>
      </c>
      <c r="AD9" s="624">
        <v>27</v>
      </c>
      <c r="AE9" s="624"/>
      <c r="AF9" s="625">
        <v>70</v>
      </c>
      <c r="AG9" s="626"/>
      <c r="AH9" s="626"/>
      <c r="AI9" s="858">
        <v>5</v>
      </c>
      <c r="AJ9" s="859">
        <f>IFERROR(INDEX(状態像区分病院所在地[#All],MATCH(5,状態像区分病院所在地[[#All],[行ラベル]]),MATCH($AJ$2,状態像区分病院所在地[#Headers],0)),0)+IFERROR(INDEX(状態像区分病院所在地[#All],MATCH(5,状態像区分病院所在地[[#All],[行ラベル]]),MATCH($AK$2,状態像区分病院所在地[#Headers],0)),0)+IFERROR(INDEX(状態像区分病院所在地[#All],MATCH(5,状態像区分病院所在地[[#All],[行ラベル]]),MATCH($AL$2,状態像区分病院所在地[#Headers],0)),0)</f>
        <v>444</v>
      </c>
      <c r="AK9" s="860">
        <f>IFERROR(INDEX(状態像区分病院所在地[#All],MATCH(5,状態像区分病院所在地[[#All],[行ラベル]]),MATCH($AM$2,状態像区分病院所在地[#Headers],0)),0)+IFERROR(INDEX(状態像区分病院所在地[#All],MATCH(5,状態像区分病院所在地[[#All],[行ラベル]]),MATCH($AN$2,状態像区分病院所在地[#Headers],0)),0)</f>
        <v>573</v>
      </c>
      <c r="AL9" s="860">
        <f>IFERROR(INDEX(状態像区分病院所在地[#All],MATCH(5,状態像区分病院所在地[[#All],[行ラベル]]),MATCH($AO$2,状態像区分病院所在地[#Headers],0)),0)+IFERROR(INDEX(状態像区分病院所在地[#All],MATCH(5,状態像区分病院所在地[[#All],[行ラベル]]),MATCH($AP$2,状態像区分病院所在地[#Headers],0)),0)+IFERROR(INDEX(状態像区分病院所在地[#All],MATCH(5,状態像区分病院所在地[[#All],[行ラベル]]),MATCH($AQ$2,状態像区分病院所在地[#Headers],0)),0)+IFERROR(INDEX(状態像区分病院所在地[#All],MATCH(5,状態像区分病院所在地[[#All],[行ラベル]]),MATCH($AR$2,状態像区分病院所在地[#Headers],0)),0)</f>
        <v>319</v>
      </c>
      <c r="AM9" s="860">
        <f>IFERROR(INDEX(状態像区分病院所在地[#All],MATCH(5,状態像区分病院所在地[[#All],[行ラベル]]),MATCH($AS$2,状態像区分病院所在地[#Headers],0)),0)+IFERROR(INDEX(状態像区分病院所在地[#All],MATCH(5,状態像区分病院所在地[[#All],[行ラベル]]),MATCH($AT$2,状態像区分病院所在地[#Headers],0)),0)+IFERROR(INDEX(状態像区分病院所在地[#All],MATCH(5,状態像区分病院所在地[[#All],[行ラベル]]),MATCH($AU$2,状態像区分病院所在地[#Headers],0)),0)</f>
        <v>170</v>
      </c>
      <c r="AN9" s="860">
        <f>IFERROR(INDEX(状態像区分病院所在地[#All],MATCH(5,状態像区分病院所在地[[#All],[行ラベル]]),MATCH($AV$2,状態像区分病院所在地[#Headers],0)),0)+IFERROR(INDEX(状態像区分病院所在地[#All],MATCH(5,状態像区分病院所在地[[#All],[行ラベル]]),MATCH($AW$2,状態像区分病院所在地[#Headers],0)),0)</f>
        <v>243</v>
      </c>
      <c r="AO9" s="860">
        <f>IFERROR(INDEX(状態像区分病院所在地[#All],MATCH(5,状態像区分病院所在地[[#All],[行ラベル]]),MATCH($AX$2,状態像区分病院所在地[#Headers],0)),0)+IFERROR(INDEX(状態像区分病院所在地[#All],MATCH(5,状態像区分病院所在地[[#All],[行ラベル]]),MATCH($AY$2,状態像区分病院所在地[#Headers],0)),0)+IFERROR(INDEX(状態像区分病院所在地[#All],MATCH(5,状態像区分病院所在地[[#All],[行ラベル]]),MATCH($AZ$2,状態像区分病院所在地[#Headers],0)),0)</f>
        <v>1666</v>
      </c>
      <c r="AP9" s="860">
        <f>IFERROR(INDEX(状態像区分病院所在地[#All],MATCH(5,状態像区分病院所在地[[#All],[行ラベル]]),MATCH($BA$2,状態像区分病院所在地[#Headers],0)),0)</f>
        <v>28</v>
      </c>
      <c r="AQ9" s="860">
        <f>IFERROR(INDEX(状態像区分病院所在地[#All],MATCH(5,状態像区分病院所在地[[#All],[行ラベル]]),MATCH($BB$2,状態像区分病院所在地[#Headers],0)),0)</f>
        <v>506</v>
      </c>
    </row>
    <row r="10" spans="1:54" s="21" customFormat="1" ht="18.75" customHeight="1" thickBot="1" x14ac:dyDescent="0.2">
      <c r="A10" s="968" t="s">
        <v>31</v>
      </c>
      <c r="B10" s="546">
        <f>AJ8</f>
        <v>679</v>
      </c>
      <c r="C10" s="546">
        <f t="shared" ref="C10:I10" si="6">AK8</f>
        <v>815</v>
      </c>
      <c r="D10" s="546">
        <f t="shared" si="6"/>
        <v>469</v>
      </c>
      <c r="E10" s="546">
        <f t="shared" si="6"/>
        <v>448</v>
      </c>
      <c r="F10" s="546">
        <f t="shared" si="6"/>
        <v>519</v>
      </c>
      <c r="G10" s="546">
        <f t="shared" si="6"/>
        <v>1861</v>
      </c>
      <c r="H10" s="546">
        <f t="shared" si="6"/>
        <v>45</v>
      </c>
      <c r="I10" s="546">
        <f t="shared" si="6"/>
        <v>812</v>
      </c>
      <c r="J10" s="547">
        <f>SUM(B10:I10)</f>
        <v>5648</v>
      </c>
      <c r="M10" s="625" t="s">
        <v>385</v>
      </c>
      <c r="N10" s="626"/>
      <c r="O10" s="626"/>
      <c r="P10" s="626"/>
      <c r="Q10" s="626"/>
      <c r="R10" s="626"/>
      <c r="S10" s="626"/>
      <c r="T10" s="626"/>
      <c r="U10" s="626"/>
      <c r="V10" s="626"/>
      <c r="W10" s="626"/>
      <c r="X10" s="626"/>
      <c r="Y10" s="626"/>
      <c r="Z10" s="626"/>
      <c r="AA10" s="626"/>
      <c r="AB10" s="626"/>
      <c r="AC10" s="626"/>
      <c r="AD10" s="626"/>
      <c r="AE10" s="626"/>
      <c r="AF10" s="625"/>
      <c r="AG10" s="626"/>
      <c r="AH10" s="626"/>
      <c r="AI10" s="861">
        <v>6</v>
      </c>
      <c r="AJ10" s="859">
        <f>IFERROR(INDEX(状態像区分病院所在地[#All],MATCH(6,状態像区分病院所在地[[#All],[行ラベル]]),MATCH($AJ$2,状態像区分病院所在地[#Headers],0)),0)+IFERROR(INDEX(状態像区分病院所在地[#All],MATCH(6,状態像区分病院所在地[[#All],[行ラベル]]),MATCH($AK$2,状態像区分病院所在地[#Headers],0)),0)+IFERROR(INDEX(状態像区分病院所在地[#All],MATCH(6,状態像区分病院所在地[[#All],[行ラベル]]),MATCH($AL$2,状態像区分病院所在地[#Headers],0)),0)</f>
        <v>96</v>
      </c>
      <c r="AK10" s="860">
        <f>IFERROR(INDEX(状態像区分病院所在地[#All],MATCH(6,状態像区分病院所在地[[#All],[行ラベル]]),MATCH($AM$2,状態像区分病院所在地[#Headers],0)),0)+IFERROR(INDEX(状態像区分病院所在地[#All],MATCH(6,状態像区分病院所在地[[#All],[行ラベル]]),MATCH($AN$2,状態像区分病院所在地[#Headers],0)),0)</f>
        <v>189</v>
      </c>
      <c r="AL10" s="860">
        <f>IFERROR(INDEX(状態像区分病院所在地[#All],MATCH(6,状態像区分病院所在地[[#All],[行ラベル]]),MATCH($AO$2,状態像区分病院所在地[#Headers],0)),0)+IFERROR(INDEX(状態像区分病院所在地[#All],MATCH(61,状態像区分病院所在地[[#All],[行ラベル]]),MATCH($AP$2,状態像区分病院所在地[#Headers],0)),0)+IFERROR(INDEX(状態像区分病院所在地[#All],MATCH(6,状態像区分病院所在地[[#All],[行ラベル]]),MATCH($AQ$2,状態像区分病院所在地[#Headers],0)),0)+IFERROR(INDEX(状態像区分病院所在地[#All],MATCH(6,状態像区分病院所在地[[#All],[行ラベル]]),MATCH($AR$2,状態像区分病院所在地[#Headers],0)),0)</f>
        <v>91</v>
      </c>
      <c r="AM10" s="860">
        <f>IFERROR(INDEX(状態像区分病院所在地[#All],MATCH(6,状態像区分病院所在地[[#All],[行ラベル]]),MATCH($AS$2,状態像区分病院所在地[#Headers],0)),0)+IFERROR(INDEX(状態像区分病院所在地[#All],MATCH(6,状態像区分病院所在地[[#All],[行ラベル]]),MATCH($AT$2,状態像区分病院所在地[#Headers],0)),0)+IFERROR(INDEX(状態像区分病院所在地[#All],MATCH(6,状態像区分病院所在地[[#All],[行ラベル]]),MATCH($AU$2,状態像区分病院所在地[#Headers],0)),0)</f>
        <v>27</v>
      </c>
      <c r="AN10" s="860">
        <f>IFERROR(INDEX(状態像区分病院所在地[#All],MATCH(6,状態像区分病院所在地[[#All],[行ラベル]]),MATCH($AV$2,状態像区分病院所在地[#Headers],0)),0)+IFERROR(INDEX(状態像区分病院所在地[#All],MATCH(6,状態像区分病院所在地[[#All],[行ラベル]]),MATCH($AW$2,状態像区分病院所在地[#Headers],0)),0)</f>
        <v>58</v>
      </c>
      <c r="AO10" s="860">
        <f>IFERROR(INDEX(状態像区分病院所在地[#All],MATCH(6,状態像区分病院所在地[[#All],[行ラベル]]),MATCH($AX$2,状態像区分病院所在地[#Headers],0)),0)+IFERROR(INDEX(状態像区分病院所在地[#All],MATCH(6,状態像区分病院所在地[[#All],[行ラベル]]),MATCH($AY$2,状態像区分病院所在地[#Headers],0)),0)+IFERROR(INDEX(状態像区分病院所在地[#All],MATCH(6,状態像区分病院所在地[[#All],[行ラベル]]),MATCH($AZ$2,状態像区分病院所在地[#Headers],0)),0)</f>
        <v>248</v>
      </c>
      <c r="AP10" s="860">
        <f>IFERROR(INDEX(状態像区分病院所在地[#All],MATCH(6,状態像区分病院所在地[[#All],[行ラベル]]),MATCH($BA$2,状態像区分病院所在地[#Headers],0)),0)</f>
        <v>0</v>
      </c>
      <c r="AQ10" s="860">
        <f>IFERROR(INDEX(状態像区分病院所在地[#All],MATCH(6,状態像区分病院所在地[[#All],[行ラベル]]),MATCH($BB$2,状態像区分病院所在地[#Headers],0)),0)</f>
        <v>70</v>
      </c>
    </row>
    <row r="11" spans="1:54" s="21" customFormat="1" ht="18.75" customHeight="1" x14ac:dyDescent="0.15">
      <c r="A11" s="969"/>
      <c r="B11" s="549">
        <f>B10/B$16</f>
        <v>0.40320665083135393</v>
      </c>
      <c r="C11" s="549">
        <f t="shared" ref="C11:J11" si="7">C10/C$16</f>
        <v>0.40790790790790793</v>
      </c>
      <c r="D11" s="549">
        <f t="shared" si="7"/>
        <v>0.35026138909634053</v>
      </c>
      <c r="E11" s="549">
        <f t="shared" si="7"/>
        <v>0.35164835164835168</v>
      </c>
      <c r="F11" s="549">
        <f t="shared" si="7"/>
        <v>0.42298288508557458</v>
      </c>
      <c r="G11" s="549">
        <f t="shared" si="7"/>
        <v>0.3557637163066335</v>
      </c>
      <c r="H11" s="549">
        <f t="shared" si="7"/>
        <v>0.27950310559006208</v>
      </c>
      <c r="I11" s="549">
        <f t="shared" si="7"/>
        <v>0.39076034648700675</v>
      </c>
      <c r="J11" s="549">
        <f t="shared" si="7"/>
        <v>0.37673425827107793</v>
      </c>
      <c r="AJ11" s="850"/>
    </row>
    <row r="12" spans="1:54" s="21" customFormat="1" ht="18.75" customHeight="1" x14ac:dyDescent="0.15">
      <c r="A12" s="968" t="s">
        <v>32</v>
      </c>
      <c r="B12" s="546">
        <f>AJ9</f>
        <v>444</v>
      </c>
      <c r="C12" s="546">
        <f t="shared" ref="C12:I12" si="8">AK9</f>
        <v>573</v>
      </c>
      <c r="D12" s="546">
        <f t="shared" si="8"/>
        <v>319</v>
      </c>
      <c r="E12" s="546">
        <f t="shared" si="8"/>
        <v>170</v>
      </c>
      <c r="F12" s="546">
        <f t="shared" si="8"/>
        <v>243</v>
      </c>
      <c r="G12" s="546">
        <f t="shared" si="8"/>
        <v>1666</v>
      </c>
      <c r="H12" s="546">
        <f t="shared" si="8"/>
        <v>28</v>
      </c>
      <c r="I12" s="546">
        <f t="shared" si="8"/>
        <v>506</v>
      </c>
      <c r="J12" s="547">
        <f>SUM(B12:I12)</f>
        <v>3949</v>
      </c>
      <c r="AJ12" s="850"/>
    </row>
    <row r="13" spans="1:54" s="21" customFormat="1" ht="18.75" customHeight="1" x14ac:dyDescent="0.15">
      <c r="A13" s="969"/>
      <c r="B13" s="549">
        <f>B12/B$16</f>
        <v>0.26365795724465557</v>
      </c>
      <c r="C13" s="549">
        <f t="shared" ref="C13:J13" si="9">C12/C$16</f>
        <v>0.28678678678678676</v>
      </c>
      <c r="D13" s="549">
        <f t="shared" si="9"/>
        <v>0.23823749066467514</v>
      </c>
      <c r="E13" s="549">
        <f t="shared" si="9"/>
        <v>0.13343799058084774</v>
      </c>
      <c r="F13" s="549">
        <f t="shared" si="9"/>
        <v>0.1980440097799511</v>
      </c>
      <c r="G13" s="549">
        <f t="shared" si="9"/>
        <v>0.31848594914930223</v>
      </c>
      <c r="H13" s="549">
        <f t="shared" si="9"/>
        <v>0.17391304347826086</v>
      </c>
      <c r="I13" s="549">
        <f t="shared" si="9"/>
        <v>0.24350336862367661</v>
      </c>
      <c r="J13" s="549">
        <f t="shared" si="9"/>
        <v>0.26340715048025615</v>
      </c>
      <c r="AJ13" s="850"/>
    </row>
    <row r="14" spans="1:54" s="21" customFormat="1" ht="18.75" customHeight="1" x14ac:dyDescent="0.15">
      <c r="A14" s="968" t="s">
        <v>33</v>
      </c>
      <c r="B14" s="546">
        <f>AJ10</f>
        <v>96</v>
      </c>
      <c r="C14" s="546">
        <f t="shared" ref="C14:I14" si="10">AK10</f>
        <v>189</v>
      </c>
      <c r="D14" s="546">
        <f t="shared" si="10"/>
        <v>91</v>
      </c>
      <c r="E14" s="546">
        <f t="shared" si="10"/>
        <v>27</v>
      </c>
      <c r="F14" s="546">
        <f t="shared" si="10"/>
        <v>58</v>
      </c>
      <c r="G14" s="546">
        <f t="shared" si="10"/>
        <v>248</v>
      </c>
      <c r="H14" s="546">
        <f t="shared" si="10"/>
        <v>0</v>
      </c>
      <c r="I14" s="546">
        <f t="shared" si="10"/>
        <v>70</v>
      </c>
      <c r="J14" s="547">
        <f>SUM(B14:I14)</f>
        <v>779</v>
      </c>
      <c r="AJ14" s="850"/>
    </row>
    <row r="15" spans="1:54" s="21" customFormat="1" ht="18.75" customHeight="1" x14ac:dyDescent="0.15">
      <c r="A15" s="969"/>
      <c r="B15" s="549">
        <f>B14/B$16</f>
        <v>5.7007125890736345E-2</v>
      </c>
      <c r="C15" s="549">
        <f t="shared" ref="C15:J15" si="11">C14/C$16</f>
        <v>9.45945945945946E-2</v>
      </c>
      <c r="D15" s="549">
        <f t="shared" si="11"/>
        <v>6.7961165048543687E-2</v>
      </c>
      <c r="E15" s="549">
        <f t="shared" si="11"/>
        <v>2.119309262166405E-2</v>
      </c>
      <c r="F15" s="549">
        <f t="shared" si="11"/>
        <v>4.7269763651181747E-2</v>
      </c>
      <c r="G15" s="549">
        <f t="shared" si="11"/>
        <v>4.7409673102657236E-2</v>
      </c>
      <c r="H15" s="549">
        <f t="shared" si="11"/>
        <v>0</v>
      </c>
      <c r="I15" s="549">
        <f t="shared" si="11"/>
        <v>3.3686236766121272E-2</v>
      </c>
      <c r="J15" s="549">
        <f t="shared" si="11"/>
        <v>5.1961045891141942E-2</v>
      </c>
      <c r="AJ15" s="850"/>
    </row>
    <row r="16" spans="1:54" s="21" customFormat="1" ht="18.75" customHeight="1" x14ac:dyDescent="0.15">
      <c r="A16" s="971" t="s">
        <v>161</v>
      </c>
      <c r="B16" s="550">
        <f>SUM(B4,B6,B8,B10,B12,B14)</f>
        <v>1684</v>
      </c>
      <c r="C16" s="550">
        <f t="shared" ref="C16:J16" si="12">SUM(C4,C6,C8,C10,C12,C14)</f>
        <v>1998</v>
      </c>
      <c r="D16" s="550">
        <f t="shared" si="12"/>
        <v>1339</v>
      </c>
      <c r="E16" s="550">
        <f t="shared" si="12"/>
        <v>1274</v>
      </c>
      <c r="F16" s="550">
        <f t="shared" si="12"/>
        <v>1227</v>
      </c>
      <c r="G16" s="550">
        <f t="shared" si="12"/>
        <v>5231</v>
      </c>
      <c r="H16" s="550">
        <f t="shared" si="12"/>
        <v>161</v>
      </c>
      <c r="I16" s="550">
        <f t="shared" si="12"/>
        <v>2078</v>
      </c>
      <c r="J16" s="551">
        <f t="shared" si="12"/>
        <v>14992</v>
      </c>
      <c r="AJ16" s="850"/>
    </row>
    <row r="17" spans="1:43" s="21" customFormat="1" ht="18.75" customHeight="1" x14ac:dyDescent="0.15">
      <c r="A17" s="969"/>
      <c r="B17" s="552">
        <f t="shared" ref="B17:J17" si="13">SUM(B5,B7,B9,B11,B13,B15)</f>
        <v>1</v>
      </c>
      <c r="C17" s="552">
        <f t="shared" si="13"/>
        <v>1</v>
      </c>
      <c r="D17" s="552">
        <f t="shared" si="13"/>
        <v>1</v>
      </c>
      <c r="E17" s="552">
        <f t="shared" si="13"/>
        <v>1</v>
      </c>
      <c r="F17" s="552">
        <f t="shared" si="13"/>
        <v>1</v>
      </c>
      <c r="G17" s="552">
        <f t="shared" si="13"/>
        <v>1</v>
      </c>
      <c r="H17" s="552">
        <f t="shared" si="13"/>
        <v>0.99999999999999989</v>
      </c>
      <c r="I17" s="552">
        <f t="shared" si="13"/>
        <v>1</v>
      </c>
      <c r="J17" s="552">
        <f t="shared" si="13"/>
        <v>1</v>
      </c>
      <c r="AJ17" s="850"/>
    </row>
    <row r="18" spans="1:43" x14ac:dyDescent="0.15">
      <c r="AJ18" s="850"/>
    </row>
    <row r="19" spans="1:43" x14ac:dyDescent="0.15">
      <c r="AJ19" s="850"/>
    </row>
    <row r="20" spans="1:43" x14ac:dyDescent="0.15">
      <c r="A20" s="627"/>
      <c r="B20" s="628"/>
      <c r="C20" s="628"/>
      <c r="D20" s="628"/>
      <c r="E20" s="628"/>
      <c r="F20" s="628"/>
      <c r="G20" s="628"/>
      <c r="H20" s="628"/>
      <c r="I20" s="628"/>
      <c r="AJ20" s="850"/>
    </row>
    <row r="21" spans="1:43" x14ac:dyDescent="0.15">
      <c r="A21" s="145"/>
      <c r="B21" s="145"/>
      <c r="C21" s="145"/>
      <c r="D21" s="145"/>
      <c r="E21" s="145"/>
      <c r="F21" s="145"/>
      <c r="G21" s="145"/>
      <c r="H21" s="145"/>
      <c r="I21" s="145"/>
      <c r="AJ21" s="850"/>
    </row>
    <row r="22" spans="1:43" ht="19.5" x14ac:dyDescent="0.15">
      <c r="A22" s="2" t="s">
        <v>652</v>
      </c>
      <c r="B22" s="3"/>
      <c r="C22" s="3"/>
      <c r="D22" s="3"/>
      <c r="E22" s="3"/>
      <c r="F22" s="3"/>
      <c r="G22" s="3"/>
      <c r="H22" s="3"/>
      <c r="I22" s="3"/>
      <c r="J22" s="3"/>
    </row>
    <row r="23" spans="1:43" ht="19.5" thickBot="1" x14ac:dyDescent="0.2">
      <c r="A23" s="4"/>
    </row>
    <row r="24" spans="1:43" ht="20.25" thickTop="1" thickBot="1" x14ac:dyDescent="0.2">
      <c r="A24" s="838"/>
      <c r="B24" s="838" t="s">
        <v>387</v>
      </c>
      <c r="C24" s="838" t="s">
        <v>388</v>
      </c>
      <c r="D24" s="838" t="s">
        <v>389</v>
      </c>
      <c r="E24" s="838" t="s">
        <v>390</v>
      </c>
      <c r="F24" s="838" t="s">
        <v>391</v>
      </c>
      <c r="G24" s="838" t="s">
        <v>392</v>
      </c>
      <c r="H24" s="838" t="s">
        <v>393</v>
      </c>
      <c r="I24" s="838" t="s">
        <v>394</v>
      </c>
      <c r="J24" s="838" t="s">
        <v>62</v>
      </c>
      <c r="M24" s="834" t="s">
        <v>373</v>
      </c>
      <c r="N24" s="835" t="s">
        <v>395</v>
      </c>
      <c r="O24" s="835" t="s">
        <v>396</v>
      </c>
      <c r="P24" s="835" t="s">
        <v>397</v>
      </c>
      <c r="Q24" s="835" t="s">
        <v>398</v>
      </c>
      <c r="R24" s="835" t="s">
        <v>399</v>
      </c>
      <c r="S24" s="835" t="s">
        <v>400</v>
      </c>
      <c r="T24" s="835" t="s">
        <v>401</v>
      </c>
      <c r="U24" s="835" t="s">
        <v>402</v>
      </c>
      <c r="V24" s="835" t="s">
        <v>403</v>
      </c>
      <c r="W24" s="835" t="s">
        <v>404</v>
      </c>
      <c r="X24" s="835" t="s">
        <v>565</v>
      </c>
      <c r="Y24" s="835" t="s">
        <v>566</v>
      </c>
      <c r="Z24" s="835" t="s">
        <v>567</v>
      </c>
      <c r="AA24" s="835" t="s">
        <v>568</v>
      </c>
      <c r="AB24" s="835" t="s">
        <v>569</v>
      </c>
      <c r="AC24" s="835" t="s">
        <v>570</v>
      </c>
      <c r="AD24" s="835" t="s">
        <v>571</v>
      </c>
      <c r="AE24" s="835" t="s">
        <v>572</v>
      </c>
      <c r="AF24" s="839" t="s">
        <v>573</v>
      </c>
      <c r="AG24" s="862" t="s">
        <v>607</v>
      </c>
      <c r="AH24" s="863"/>
    </row>
    <row r="25" spans="1:43" ht="20.25" thickTop="1" thickBot="1" x14ac:dyDescent="0.2">
      <c r="A25" s="968" t="s">
        <v>28</v>
      </c>
      <c r="B25" s="546">
        <f>AJ26</f>
        <v>15</v>
      </c>
      <c r="C25" s="546">
        <f t="shared" ref="C25:I25" si="14">AK26</f>
        <v>8</v>
      </c>
      <c r="D25" s="546">
        <f t="shared" si="14"/>
        <v>11</v>
      </c>
      <c r="E25" s="546">
        <f t="shared" si="14"/>
        <v>11</v>
      </c>
      <c r="F25" s="546">
        <f t="shared" si="14"/>
        <v>2</v>
      </c>
      <c r="G25" s="546">
        <f t="shared" si="14"/>
        <v>12</v>
      </c>
      <c r="H25" s="546">
        <f t="shared" si="14"/>
        <v>0</v>
      </c>
      <c r="I25" s="546">
        <f t="shared" si="14"/>
        <v>4</v>
      </c>
      <c r="J25" s="547">
        <f>SUM(B25:I25)</f>
        <v>63</v>
      </c>
      <c r="M25" s="836">
        <v>1</v>
      </c>
      <c r="N25" s="837"/>
      <c r="O25" s="837">
        <v>3</v>
      </c>
      <c r="P25" s="837">
        <v>12</v>
      </c>
      <c r="Q25" s="837">
        <v>5</v>
      </c>
      <c r="R25" s="837">
        <v>3</v>
      </c>
      <c r="S25" s="837">
        <v>4</v>
      </c>
      <c r="T25" s="837">
        <v>5</v>
      </c>
      <c r="U25" s="837">
        <v>2</v>
      </c>
      <c r="V25" s="837"/>
      <c r="W25" s="837">
        <v>9</v>
      </c>
      <c r="X25" s="837">
        <v>2</v>
      </c>
      <c r="Y25" s="837"/>
      <c r="Z25" s="837"/>
      <c r="AA25" s="837">
        <v>2</v>
      </c>
      <c r="AB25" s="837">
        <v>7</v>
      </c>
      <c r="AC25" s="837">
        <v>5</v>
      </c>
      <c r="AD25" s="837"/>
      <c r="AE25" s="837"/>
      <c r="AF25" s="836">
        <v>4</v>
      </c>
      <c r="AG25" s="864"/>
      <c r="AH25" s="626"/>
      <c r="AI25" s="851"/>
      <c r="AJ25" s="865" t="s">
        <v>387</v>
      </c>
      <c r="AK25" s="866" t="s">
        <v>388</v>
      </c>
      <c r="AL25" s="866" t="s">
        <v>389</v>
      </c>
      <c r="AM25" s="866" t="s">
        <v>390</v>
      </c>
      <c r="AN25" s="866" t="s">
        <v>391</v>
      </c>
      <c r="AO25" s="866" t="s">
        <v>392</v>
      </c>
      <c r="AP25" s="866" t="s">
        <v>393</v>
      </c>
      <c r="AQ25" s="867" t="s">
        <v>394</v>
      </c>
    </row>
    <row r="26" spans="1:43" x14ac:dyDescent="0.15">
      <c r="A26" s="969"/>
      <c r="B26" s="549">
        <f>B25/B$37</f>
        <v>1.4807502467917079E-2</v>
      </c>
      <c r="C26" s="549">
        <f t="shared" ref="C26:J36" si="15">C25/C$37</f>
        <v>7.1813285457809697E-3</v>
      </c>
      <c r="D26" s="549">
        <f t="shared" si="15"/>
        <v>1.5068493150684932E-2</v>
      </c>
      <c r="E26" s="549">
        <f t="shared" si="15"/>
        <v>1.9400352733686066E-2</v>
      </c>
      <c r="F26" s="549">
        <f t="shared" si="15"/>
        <v>2.6420079260237781E-3</v>
      </c>
      <c r="G26" s="549">
        <f t="shared" si="15"/>
        <v>3.4197777144485608E-3</v>
      </c>
      <c r="H26" s="549">
        <f t="shared" si="15"/>
        <v>0</v>
      </c>
      <c r="I26" s="549">
        <f t="shared" si="15"/>
        <v>3.727865796831314E-3</v>
      </c>
      <c r="J26" s="549">
        <f t="shared" si="15"/>
        <v>7.1884984025559102E-3</v>
      </c>
      <c r="M26" s="836">
        <v>2</v>
      </c>
      <c r="N26" s="837">
        <v>15</v>
      </c>
      <c r="O26" s="837">
        <v>25</v>
      </c>
      <c r="P26" s="837">
        <v>32</v>
      </c>
      <c r="Q26" s="837">
        <v>12</v>
      </c>
      <c r="R26" s="837">
        <v>18</v>
      </c>
      <c r="S26" s="837">
        <v>30</v>
      </c>
      <c r="T26" s="837">
        <v>13</v>
      </c>
      <c r="U26" s="837">
        <v>1</v>
      </c>
      <c r="V26" s="837">
        <v>8</v>
      </c>
      <c r="W26" s="837">
        <v>33</v>
      </c>
      <c r="X26" s="837">
        <v>39</v>
      </c>
      <c r="Y26" s="837"/>
      <c r="Z26" s="837">
        <v>2</v>
      </c>
      <c r="AA26" s="837">
        <v>40</v>
      </c>
      <c r="AB26" s="837">
        <v>72</v>
      </c>
      <c r="AC26" s="837">
        <v>66</v>
      </c>
      <c r="AD26" s="837">
        <v>21</v>
      </c>
      <c r="AE26" s="837"/>
      <c r="AF26" s="836">
        <v>31</v>
      </c>
      <c r="AG26" s="864"/>
      <c r="AH26" s="626"/>
      <c r="AI26" s="868">
        <v>1</v>
      </c>
      <c r="AJ26" s="869">
        <f>IFERROR(INDEX(状態像区分病院所在地_寛解・院内寛解[#All],MATCH(1,状態像区分病院所在地_寛解・院内寛解[[#All],[行ラベル]]),MATCH($AJ$2,状態像区分病院所在地_寛解・院内寛解[#Headers],0)),0)+IFERROR(INDEX(状態像区分病院所在地_寛解・院内寛解[#All],MATCH(1,状態像区分病院所在地_寛解・院内寛解[[#All],[行ラベル]]),MATCH($AK$2,状態像区分病院所在地_寛解・院内寛解[#Headers],0)),0)+IFERROR(INDEX(状態像区分病院所在地_寛解・院内寛解[#All],MATCH(1,状態像区分病院所在地_寛解・院内寛解[[#All],[行ラベル]]),MATCH($AL$2,状態像区分病院所在地_寛解・院内寛解[#Headers],0)),0)</f>
        <v>15</v>
      </c>
      <c r="AK26" s="870">
        <f>IFERROR(INDEX(状態像区分病院所在地_寛解・院内寛解[#All],MATCH(1,状態像区分病院所在地_寛解・院内寛解[[#All],[行ラベル]]),MATCH($AM$2,状態像区分病院所在地_寛解・院内寛解[#Headers],0)),0)+IFERROR(INDEX(状態像区分病院所在地_寛解・院内寛解[#All],MATCH(1,状態像区分病院所在地_寛解・院内寛解[[#All],[行ラベル]]),MATCH($AN$2,状態像区分病院所在地_寛解・院内寛解[#Headers],0)),0)</f>
        <v>8</v>
      </c>
      <c r="AL26" s="870">
        <f>IFERROR(INDEX(状態像区分病院所在地_寛解・院内寛解[#All],MATCH(1,状態像区分病院所在地_寛解・院内寛解[[#All],[行ラベル]]),MATCH($AO$2,状態像区分病院所在地_寛解・院内寛解[#Headers],0)),0)+IFERROR(INDEX(状態像区分病院所在地_寛解・院内寛解[#All],MATCH(1,状態像区分病院所在地_寛解・院内寛解[[#All],[行ラベル]]),MATCH($AP$2,状態像区分病院所在地_寛解・院内寛解[#Headers],0)),0)+IFERROR(INDEX(状態像区分病院所在地_寛解・院内寛解[#All],MATCH(1,状態像区分病院所在地_寛解・院内寛解[[#All],[行ラベル]]),MATCH($AQ$2,状態像区分病院所在地_寛解・院内寛解[#Headers],0)),0)+IFERROR(INDEX(状態像区分病院所在地_寛解・院内寛解[#All],MATCH(1,状態像区分病院所在地_寛解・院内寛解[[#All],[行ラベル]]),MATCH($AR$2,状態像区分病院所在地_寛解・院内寛解[#Headers],0)),0)</f>
        <v>11</v>
      </c>
      <c r="AM26" s="870">
        <f>IFERROR(INDEX(状態像区分病院所在地_寛解・院内寛解[#All],MATCH(1,状態像区分病院所在地_寛解・院内寛解[[#All],[行ラベル]]),MATCH($AS$2,状態像区分病院所在地_寛解・院内寛解[#Headers],0)),0)+IFERROR(INDEX(状態像区分病院所在地_寛解・院内寛解[#All],MATCH(1,状態像区分病院所在地_寛解・院内寛解[[#All],[行ラベル]]),MATCH($AT$2,状態像区分病院所在地_寛解・院内寛解[#Headers],0)),0)+IFERROR(INDEX(状態像区分病院所在地_寛解・院内寛解[#All],MATCH(1,状態像区分病院所在地_寛解・院内寛解[[#All],[行ラベル]]),MATCH($AU$2,状態像区分病院所在地_寛解・院内寛解[#Headers],0)),0)</f>
        <v>11</v>
      </c>
      <c r="AN26" s="870">
        <f>IFERROR(INDEX(状態像区分病院所在地_寛解・院内寛解[#All],MATCH(1,状態像区分病院所在地_寛解・院内寛解[[#All],[行ラベル]]),MATCH($AV$2,状態像区分病院所在地_寛解・院内寛解[#Headers],0)),0)+IFERROR(INDEX(状態像区分病院所在地_寛解・院内寛解[#All],MATCH(1,状態像区分病院所在地_寛解・院内寛解[[#All],[行ラベル]]),MATCH($AW$2,状態像区分病院所在地_寛解・院内寛解[#Headers],0)),0)</f>
        <v>2</v>
      </c>
      <c r="AO26" s="870">
        <f>IFERROR(INDEX(状態像区分病院所在地_寛解・院内寛解[#All],MATCH(1,状態像区分病院所在地_寛解・院内寛解[[#All],[行ラベル]]),MATCH($AX$2,状態像区分病院所在地_寛解・院内寛解[#Headers],0)),0)+IFERROR(INDEX(状態像区分病院所在地_寛解・院内寛解[#All],MATCH(1,状態像区分病院所在地_寛解・院内寛解[[#All],[行ラベル]]),MATCH($AY$2,状態像区分病院所在地_寛解・院内寛解[#Headers],0)),0)+IFERROR(INDEX(状態像区分病院所在地_寛解・院内寛解[#All],MATCH(1,状態像区分病院所在地_寛解・院内寛解[[#All],[行ラベル]]),MATCH($AZ$2,状態像区分病院所在地_寛解・院内寛解[#Headers],0)),0)</f>
        <v>12</v>
      </c>
      <c r="AP26" s="870">
        <f>IFERROR(INDEX(状態像区分病院所在地_寛解・院内寛解[#All],MATCH(1,状態像区分病院所在地_寛解・院内寛解[[#All],[行ラベル]]),MATCH($BA$2,状態像区分病院所在地_寛解・院内寛解[#Headers],0)),0)</f>
        <v>0</v>
      </c>
      <c r="AQ26" s="871">
        <f>IFERROR(INDEX(状態像区分病院所在地_寛解・院内寛解[#All],MATCH(1,状態像区分病院所在地_寛解・院内寛解[[#All],[行ラベル]]),MATCH($BB$2,状態像区分病院所在地_寛解・院内寛解[#Headers],0)),0)</f>
        <v>4</v>
      </c>
    </row>
    <row r="27" spans="1:43" x14ac:dyDescent="0.15">
      <c r="A27" s="968" t="s">
        <v>29</v>
      </c>
      <c r="B27" s="546">
        <f>AJ27</f>
        <v>72</v>
      </c>
      <c r="C27" s="546">
        <f t="shared" ref="C27:I27" si="16">AK27</f>
        <v>30</v>
      </c>
      <c r="D27" s="546">
        <f t="shared" si="16"/>
        <v>52</v>
      </c>
      <c r="E27" s="546">
        <f t="shared" si="16"/>
        <v>72</v>
      </c>
      <c r="F27" s="546">
        <f t="shared" si="16"/>
        <v>42</v>
      </c>
      <c r="G27" s="546">
        <f t="shared" si="16"/>
        <v>159</v>
      </c>
      <c r="H27" s="546">
        <f t="shared" si="16"/>
        <v>0</v>
      </c>
      <c r="I27" s="546">
        <f t="shared" si="16"/>
        <v>31</v>
      </c>
      <c r="J27" s="547">
        <f>SUM(B27:I27)</f>
        <v>458</v>
      </c>
      <c r="M27" s="836">
        <v>3</v>
      </c>
      <c r="N27" s="837">
        <v>56</v>
      </c>
      <c r="O27" s="837">
        <v>50</v>
      </c>
      <c r="P27" s="837">
        <v>28</v>
      </c>
      <c r="Q27" s="837">
        <v>45</v>
      </c>
      <c r="R27" s="837">
        <v>43</v>
      </c>
      <c r="S27" s="837">
        <v>55</v>
      </c>
      <c r="T27" s="837">
        <v>28</v>
      </c>
      <c r="U27" s="837">
        <v>25</v>
      </c>
      <c r="V27" s="837">
        <v>22</v>
      </c>
      <c r="W27" s="837">
        <v>120</v>
      </c>
      <c r="X27" s="837">
        <v>26</v>
      </c>
      <c r="Y27" s="837">
        <v>9</v>
      </c>
      <c r="Z27" s="837">
        <v>57</v>
      </c>
      <c r="AA27" s="837">
        <v>88</v>
      </c>
      <c r="AB27" s="837">
        <v>210</v>
      </c>
      <c r="AC27" s="837">
        <v>289</v>
      </c>
      <c r="AD27" s="837">
        <v>108</v>
      </c>
      <c r="AE27" s="837"/>
      <c r="AF27" s="836">
        <v>195</v>
      </c>
      <c r="AG27" s="864"/>
      <c r="AH27" s="626"/>
      <c r="AI27" s="872">
        <v>2</v>
      </c>
      <c r="AJ27" s="869">
        <f>IFERROR(INDEX(状態像区分病院所在地_寛解・院内寛解[#All],MATCH(2,状態像区分病院所在地_寛解・院内寛解[[#All],[行ラベル]]),MATCH($AJ$2,状態像区分病院所在地_寛解・院内寛解[#Headers],0)),0)+IFERROR(INDEX(状態像区分病院所在地_寛解・院内寛解[#All],MATCH(2,状態像区分病院所在地_寛解・院内寛解[[#All],[行ラベル]]),MATCH($AK$2,状態像区分病院所在地_寛解・院内寛解[#Headers],0)),0)+IFERROR(INDEX(状態像区分病院所在地_寛解・院内寛解[#All],MATCH(2,状態像区分病院所在地_寛解・院内寛解[[#All],[行ラベル]]),MATCH($AL$2,状態像区分病院所在地_寛解・院内寛解[#Headers],0)),0)</f>
        <v>72</v>
      </c>
      <c r="AK27" s="870">
        <f>IFERROR(INDEX(状態像区分病院所在地_寛解・院内寛解[#All],MATCH(2,状態像区分病院所在地_寛解・院内寛解[[#All],[行ラベル]]),MATCH($AM$2,状態像区分病院所在地_寛解・院内寛解[#Headers],0)),0)+IFERROR(INDEX(状態像区分病院所在地_寛解・院内寛解[#All],MATCH(2,状態像区分病院所在地_寛解・院内寛解[[#All],[行ラベル]]),MATCH($AN$2,状態像区分病院所在地_寛解・院内寛解[#Headers],0)),0)</f>
        <v>30</v>
      </c>
      <c r="AL27" s="870">
        <f>IFERROR(INDEX(状態像区分病院所在地_寛解・院内寛解[#All],MATCH(2,状態像区分病院所在地_寛解・院内寛解[[#All],[行ラベル]]),MATCH($AO$2,状態像区分病院所在地_寛解・院内寛解[#Headers],0)),0)+IFERROR(INDEX(状態像区分病院所在地_寛解・院内寛解[#All],MATCH(2,状態像区分病院所在地_寛解・院内寛解[[#All],[行ラベル]]),MATCH($AP$2,状態像区分病院所在地_寛解・院内寛解[#Headers],0)),0)+IFERROR(INDEX(状態像区分病院所在地_寛解・院内寛解[#All],MATCH(2,状態像区分病院所在地_寛解・院内寛解[[#All],[行ラベル]]),MATCH($AQ$2,状態像区分病院所在地_寛解・院内寛解[#Headers],0)),0)+IFERROR(INDEX(状態像区分病院所在地_寛解・院内寛解[#All],MATCH(2,状態像区分病院所在地_寛解・院内寛解[[#All],[行ラベル]]),MATCH($AR$2,状態像区分病院所在地_寛解・院内寛解[#Headers],0)),0)</f>
        <v>52</v>
      </c>
      <c r="AM27" s="870">
        <f>IFERROR(INDEX(状態像区分病院所在地_寛解・院内寛解[#All],MATCH(2,状態像区分病院所在地_寛解・院内寛解[[#All],[行ラベル]]),MATCH($AS$2,状態像区分病院所在地_寛解・院内寛解[#Headers],0)),0)+IFERROR(INDEX(状態像区分病院所在地_寛解・院内寛解[#All],MATCH(2,状態像区分病院所在地_寛解・院内寛解[[#All],[行ラベル]]),MATCH($AT$2,状態像区分病院所在地_寛解・院内寛解[#Headers],0)),0)+IFERROR(INDEX(状態像区分病院所在地_寛解・院内寛解[#All],MATCH(2,状態像区分病院所在地_寛解・院内寛解[[#All],[行ラベル]]),MATCH($AU$2,状態像区分病院所在地_寛解・院内寛解[#Headers],0)),0)</f>
        <v>72</v>
      </c>
      <c r="AN27" s="870">
        <f>IFERROR(INDEX(状態像区分病院所在地_寛解・院内寛解[#All],MATCH(2,状態像区分病院所在地_寛解・院内寛解[[#All],[行ラベル]]),MATCH($AV$2,状態像区分病院所在地_寛解・院内寛解[#Headers],0)),0)+IFERROR(INDEX(状態像区分病院所在地_寛解・院内寛解[#All],MATCH(2,状態像区分病院所在地_寛解・院内寛解[[#All],[行ラベル]]),MATCH($AW$2,状態像区分病院所在地_寛解・院内寛解[#Headers],0)),0)</f>
        <v>42</v>
      </c>
      <c r="AO27" s="870">
        <f>IFERROR(INDEX(状態像区分病院所在地_寛解・院内寛解[#All],MATCH(2,状態像区分病院所在地_寛解・院内寛解[[#All],[行ラベル]]),MATCH($AX$2,状態像区分病院所在地_寛解・院内寛解[#Headers],0)),0)+IFERROR(INDEX(状態像区分病院所在地_寛解・院内寛解[#All],MATCH(2,状態像区分病院所在地_寛解・院内寛解[[#All],[行ラベル]]),MATCH($AY$2,状態像区分病院所在地_寛解・院内寛解[#Headers],0)),0)+IFERROR(INDEX(状態像区分病院所在地_寛解・院内寛解[#All],MATCH(2,状態像区分病院所在地_寛解・院内寛解[[#All],[行ラベル]]),MATCH($AZ$2,状態像区分病院所在地_寛解・院内寛解[#Headers],0)),0)</f>
        <v>159</v>
      </c>
      <c r="AP27" s="870">
        <f>IFERROR(INDEX(状態像区分病院所在地_寛解・院内寛解[#All],MATCH(2,状態像区分病院所在地_寛解・院内寛解[[#All],[行ラベル]]),MATCH($BA$2,状態像区分病院所在地_寛解・院内寛解[#Headers],0)),0)</f>
        <v>0</v>
      </c>
      <c r="AQ27" s="871">
        <f>IFERROR(INDEX(状態像区分病院所在地_寛解・院内寛解[#All],MATCH(2,状態像区分病院所在地_寛解・院内寛解[[#All],[行ラベル]]),MATCH($BB$2,状態像区分病院所在地_寛解・院内寛解[#Headers],0)),0)</f>
        <v>31</v>
      </c>
    </row>
    <row r="28" spans="1:43" x14ac:dyDescent="0.15">
      <c r="A28" s="969"/>
      <c r="B28" s="549">
        <f t="shared" ref="B28:I28" si="17">B27/B$37</f>
        <v>7.1076011846001971E-2</v>
      </c>
      <c r="C28" s="549">
        <f t="shared" si="17"/>
        <v>2.6929982046678635E-2</v>
      </c>
      <c r="D28" s="549">
        <f t="shared" si="17"/>
        <v>7.1232876712328766E-2</v>
      </c>
      <c r="E28" s="549">
        <f t="shared" si="17"/>
        <v>0.12698412698412698</v>
      </c>
      <c r="F28" s="549">
        <f t="shared" si="17"/>
        <v>5.5482166446499337E-2</v>
      </c>
      <c r="G28" s="549">
        <f t="shared" si="17"/>
        <v>4.531205471644343E-2</v>
      </c>
      <c r="H28" s="549">
        <f t="shared" si="17"/>
        <v>0</v>
      </c>
      <c r="I28" s="549">
        <f t="shared" si="17"/>
        <v>2.8890959925442685E-2</v>
      </c>
      <c r="J28" s="549">
        <f t="shared" si="15"/>
        <v>5.2259242355088997E-2</v>
      </c>
      <c r="M28" s="836">
        <v>4</v>
      </c>
      <c r="N28" s="837">
        <v>174</v>
      </c>
      <c r="O28" s="837">
        <v>185</v>
      </c>
      <c r="P28" s="837">
        <v>72</v>
      </c>
      <c r="Q28" s="837">
        <v>358</v>
      </c>
      <c r="R28" s="837">
        <v>122</v>
      </c>
      <c r="S28" s="837">
        <v>126</v>
      </c>
      <c r="T28" s="837">
        <v>42</v>
      </c>
      <c r="U28" s="837">
        <v>61</v>
      </c>
      <c r="V28" s="837">
        <v>57</v>
      </c>
      <c r="W28" s="837">
        <v>137</v>
      </c>
      <c r="X28" s="837">
        <v>56</v>
      </c>
      <c r="Y28" s="837">
        <v>39</v>
      </c>
      <c r="Z28" s="837">
        <v>154</v>
      </c>
      <c r="AA28" s="837">
        <v>219</v>
      </c>
      <c r="AB28" s="837">
        <v>274</v>
      </c>
      <c r="AC28" s="837">
        <v>588</v>
      </c>
      <c r="AD28" s="837">
        <v>486</v>
      </c>
      <c r="AE28" s="837"/>
      <c r="AF28" s="836">
        <v>506</v>
      </c>
      <c r="AG28" s="864"/>
      <c r="AH28" s="626"/>
      <c r="AI28" s="872">
        <v>3</v>
      </c>
      <c r="AJ28" s="869">
        <f>IFERROR(INDEX(状態像区分病院所在地_寛解・院内寛解[#All],MATCH(3,状態像区分病院所在地_寛解・院内寛解[[#All],[行ラベル]]),MATCH($AJ$2,状態像区分病院所在地_寛解・院内寛解[#Headers],0)),0)+IFERROR(INDEX(状態像区分病院所在地_寛解・院内寛解[#All],MATCH(3,状態像区分病院所在地_寛解・院内寛解[[#All],[行ラベル]]),MATCH($AK$2,状態像区分病院所在地_寛解・院内寛解[#Headers],0)),0)+IFERROR(INDEX(状態像区分病院所在地_寛解・院内寛解[#All],MATCH(3,状態像区分病院所在地_寛解・院内寛解[[#All],[行ラベル]]),MATCH($AL$2,状態像区分病院所在地_寛解・院内寛解[#Headers],0)),0)</f>
        <v>134</v>
      </c>
      <c r="AK28" s="870">
        <f>IFERROR(INDEX(状態像区分病院所在地_寛解・院内寛解[#All],MATCH(3,状態像区分病院所在地_寛解・院内寛解[[#All],[行ラベル]]),MATCH($AM$2,状態像区分病院所在地_寛解・院内寛解[#Headers],0)),0)+IFERROR(INDEX(状態像区分病院所在地_寛解・院内寛解[#All],MATCH(3,状態像区分病院所在地_寛解・院内寛解[[#All],[行ラベル]]),MATCH($AN$2,状態像区分病院所在地_寛解・院内寛解[#Headers],0)),0)</f>
        <v>88</v>
      </c>
      <c r="AL28" s="870">
        <f>IFERROR(INDEX(状態像区分病院所在地_寛解・院内寛解[#All],MATCH(3,状態像区分病院所在地_寛解・院内寛解[[#All],[行ラベル]]),MATCH($AO$2,状態像区分病院所在地_寛解・院内寛解[#Headers],0)),0)+IFERROR(INDEX(状態像区分病院所在地_寛解・院内寛解[#All],MATCH(3,状態像区分病院所在地_寛解・院内寛解[[#All],[行ラベル]]),MATCH($AP$2,状態像区分病院所在地_寛解・院内寛解[#Headers],0)),0)+IFERROR(INDEX(状態像区分病院所在地_寛解・院内寛解[#All],MATCH(3,状態像区分病院所在地_寛解・院内寛解[[#All],[行ラベル]]),MATCH($AQ$2,状態像区分病院所在地_寛解・院内寛解[#Headers],0)),0)+IFERROR(INDEX(状態像区分病院所在地_寛解・院内寛解[#All],MATCH(3,状態像区分病院所在地_寛解・院内寛解[[#All],[行ラベル]]),MATCH($AR$2,状態像区分病院所在地_寛解・院内寛解[#Headers],0)),0)</f>
        <v>130</v>
      </c>
      <c r="AM28" s="870">
        <f>IFERROR(INDEX(状態像区分病院所在地_寛解・院内寛解[#All],MATCH(3,状態像区分病院所在地_寛解・院内寛解[[#All],[行ラベル]]),MATCH($AS$2,状態像区分病院所在地_寛解・院内寛解[#Headers],0)),0)+IFERROR(INDEX(状態像区分病院所在地_寛解・院内寛解[#All],MATCH(3,状態像区分病院所在地_寛解・院内寛解[[#All],[行ラベル]]),MATCH($AT$2,状態像区分病院所在地_寛解・院内寛解[#Headers],0)),0)+IFERROR(INDEX(状態像区分病院所在地_寛解・院内寛解[#All],MATCH(3,状態像区分病院所在地_寛解・院内寛解[[#All],[行ラベル]]),MATCH($AU$2,状態像区分病院所在地_寛解・院内寛解[#Headers],0)),0)</f>
        <v>155</v>
      </c>
      <c r="AN28" s="870">
        <f>IFERROR(INDEX(状態像区分病院所在地_寛解・院内寛解[#All],MATCH(3,状態像区分病院所在地_寛解・院内寛解[[#All],[行ラベル]]),MATCH($AV$2,状態像区分病院所在地_寛解・院内寛解[#Headers],0)),0)+IFERROR(INDEX(状態像区分病院所在地_寛解・院内寛解[#All],MATCH(3,状態像区分病院所在地_寛解・院内寛解[[#All],[行ラベル]]),MATCH($AW$2,状態像区分病院所在地_寛解・院内寛解[#Headers],0)),0)</f>
        <v>145</v>
      </c>
      <c r="AO28" s="870">
        <f>IFERROR(INDEX(状態像区分病院所在地_寛解・院内寛解[#All],MATCH(3,状態像区分病院所在地_寛解・院内寛解[[#All],[行ラベル]]),MATCH($AX$2,状態像区分病院所在地_寛解・院内寛解[#Headers],0)),0)+IFERROR(INDEX(状態像区分病院所在地_寛解・院内寛解[#All],MATCH(3,状態像区分病院所在地_寛解・院内寛解[[#All],[行ラベル]]),MATCH($AY$2,状態像区分病院所在地_寛解・院内寛解[#Headers],0)),0)+IFERROR(INDEX(状態像区分病院所在地_寛解・院内寛解[#All],MATCH(3,状態像区分病院所在地_寛解・院内寛解[[#All],[行ラベル]]),MATCH($AZ$2,状態像区分病院所在地_寛解・院内寛解[#Headers],0)),0)</f>
        <v>607</v>
      </c>
      <c r="AP28" s="870">
        <f>IFERROR(INDEX(状態像区分病院所在地_寛解・院内寛解[#All],MATCH(3,状態像区分病院所在地_寛解・院内寛解[[#All],[行ラベル]]),MATCH($BA$2,状態像区分病院所在地_寛解・院内寛解[#Headers],0)),0)</f>
        <v>0</v>
      </c>
      <c r="AQ28" s="871">
        <f>IFERROR(INDEX(状態像区分病院所在地_寛解・院内寛解[#All],MATCH(3,状態像区分病院所在地_寛解・院内寛解[[#All],[行ラベル]]),MATCH($BB$2,状態像区分病院所在地_寛解・院内寛解[#Headers],0)),0)</f>
        <v>195</v>
      </c>
    </row>
    <row r="29" spans="1:43" x14ac:dyDescent="0.15">
      <c r="A29" s="968" t="s">
        <v>30</v>
      </c>
      <c r="B29" s="546">
        <f>AJ28</f>
        <v>134</v>
      </c>
      <c r="C29" s="546">
        <f t="shared" ref="C29:I29" si="18">AK28</f>
        <v>88</v>
      </c>
      <c r="D29" s="546">
        <f t="shared" si="18"/>
        <v>130</v>
      </c>
      <c r="E29" s="546">
        <f t="shared" si="18"/>
        <v>155</v>
      </c>
      <c r="F29" s="546">
        <f t="shared" si="18"/>
        <v>145</v>
      </c>
      <c r="G29" s="546">
        <f t="shared" si="18"/>
        <v>607</v>
      </c>
      <c r="H29" s="546">
        <f t="shared" si="18"/>
        <v>0</v>
      </c>
      <c r="I29" s="546">
        <f t="shared" si="18"/>
        <v>195</v>
      </c>
      <c r="J29" s="547">
        <f>SUM(B29:I29)</f>
        <v>1454</v>
      </c>
      <c r="M29" s="836">
        <v>5</v>
      </c>
      <c r="N29" s="837">
        <v>97</v>
      </c>
      <c r="O29" s="837">
        <v>128</v>
      </c>
      <c r="P29" s="837">
        <v>74</v>
      </c>
      <c r="Q29" s="837">
        <v>295</v>
      </c>
      <c r="R29" s="837">
        <v>81</v>
      </c>
      <c r="S29" s="837">
        <v>123</v>
      </c>
      <c r="T29" s="837">
        <v>21</v>
      </c>
      <c r="U29" s="837">
        <v>28</v>
      </c>
      <c r="V29" s="837">
        <v>25</v>
      </c>
      <c r="W29" s="837">
        <v>41</v>
      </c>
      <c r="X29" s="837">
        <v>14</v>
      </c>
      <c r="Y29" s="837">
        <v>27</v>
      </c>
      <c r="Z29" s="837">
        <v>68</v>
      </c>
      <c r="AA29" s="837">
        <v>83</v>
      </c>
      <c r="AB29" s="837">
        <v>409</v>
      </c>
      <c r="AC29" s="837">
        <v>590</v>
      </c>
      <c r="AD29" s="837">
        <v>195</v>
      </c>
      <c r="AE29" s="837">
        <v>1</v>
      </c>
      <c r="AF29" s="836">
        <v>310</v>
      </c>
      <c r="AG29" s="864"/>
      <c r="AH29" s="626"/>
      <c r="AI29" s="872">
        <v>4</v>
      </c>
      <c r="AJ29" s="869">
        <f>IFERROR(INDEX(状態像区分病院所在地_寛解・院内寛解[#All],MATCH(4,状態像区分病院所在地_寛解・院内寛解[[#All],[行ラベル]]),MATCH($AJ$2,状態像区分病院所在地_寛解・院内寛解[#Headers],0)),0)+IFERROR(INDEX(状態像区分病院所在地_寛解・院内寛解[#All],MATCH(4,状態像区分病院所在地_寛解・院内寛解[[#All],[行ラベル]]),MATCH($AK$2,状態像区分病院所在地_寛解・院内寛解[#Headers],0)),0)+IFERROR(INDEX(状態像区分病院所在地_寛解・院内寛解[#All],MATCH(4,状態像区分病院所在地_寛解・院内寛解[[#All],[行ラベル]]),MATCH($AL$2,状態像区分病院所在地_寛解・院内寛解[#Headers],0)),0)</f>
        <v>431</v>
      </c>
      <c r="AK29" s="870">
        <f>IFERROR(INDEX(状態像区分病院所在地_寛解・院内寛解[#All],MATCH(4,状態像区分病院所在地_寛解・院内寛解[[#All],[行ラベル]]),MATCH($AM$2,状態像区分病院所在地_寛解・院内寛解[#Headers],0)),0)+IFERROR(INDEX(状態像区分病院所在地_寛解・院内寛解[#All],MATCH(4,状態像区分病院所在地_寛解・院内寛解[[#All],[行ラベル]]),MATCH($AN$2,状態像区分病院所在地_寛解・院内寛解[#Headers],0)),0)</f>
        <v>480</v>
      </c>
      <c r="AL29" s="870">
        <f>IFERROR(INDEX(状態像区分病院所在地_寛解・院内寛解[#All],MATCH(4,状態像区分病院所在地_寛解・院内寛解[[#All],[行ラベル]]),MATCH($AO$2,状態像区分病院所在地_寛解・院内寛解[#Headers],0)),0)+IFERROR(INDEX(状態像区分病院所在地_寛解・院内寛解[#All],MATCH(4,状態像区分病院所在地_寛解・院内寛解[[#All],[行ラベル]]),MATCH($AP$2,状態像区分病院所在地_寛解・院内寛解[#Headers],0)),0)+IFERROR(INDEX(状態像区分病院所在地_寛解・院内寛解[#All],MATCH(4,状態像区分病院所在地_寛解・院内寛解[[#All],[行ラベル]]),MATCH($AQ$2,状態像区分病院所在地_寛解・院内寛解[#Headers],0)),0)+IFERROR(INDEX(状態像区分病院所在地_寛解・院内寛解[#All],MATCH(4,状態像区分病院所在地_寛解・院内寛解[[#All],[行ラベル]]),MATCH($AR$2,状態像区分病院所在地_寛解・院内寛解[#Headers],0)),0)</f>
        <v>286</v>
      </c>
      <c r="AM29" s="870">
        <f>IFERROR(INDEX(状態像区分病院所在地_寛解・院内寛解[#All],MATCH(4,状態像区分病院所在地_寛解・院内寛解[[#All],[行ラベル]]),MATCH($AS$2,状態像区分病院所在地_寛解・院内寛解[#Headers],0)),0)+IFERROR(INDEX(状態像区分病院所在地_寛解・院内寛解[#All],MATCH(4,状態像区分病院所在地_寛解・院内寛解[[#All],[行ラベル]]),MATCH($AT$2,状態像区分病院所在地_寛解・院内寛解[#Headers],0)),0)+IFERROR(INDEX(状態像区分病院所在地_寛解・院内寛解[#All],MATCH(4,状態像区分病院所在地_寛解・院内寛解[[#All],[行ラベル]]),MATCH($AU$2,状態像区分病院所在地_寛解・院内寛解[#Headers],0)),0)</f>
        <v>232</v>
      </c>
      <c r="AN29" s="870">
        <f>IFERROR(INDEX(状態像区分病院所在地_寛解・院内寛解[#All],MATCH(4,状態像区分病院所在地_寛解・院内寛解[[#All],[行ラベル]]),MATCH($AV$2,状態像区分病院所在地_寛解・院内寛解[#Headers],0)),0)+IFERROR(INDEX(状態像区分病院所在地_寛解・院内寛解[#All],MATCH(4,状態像区分病院所在地_寛解・院内寛解[[#All],[行ラベル]]),MATCH($AW$2,状態像区分病院所在地_寛解・院内寛解[#Headers],0)),0)</f>
        <v>373</v>
      </c>
      <c r="AO29" s="870">
        <f>IFERROR(INDEX(状態像区分病院所在地_寛解・院内寛解[#All],MATCH(4,状態像区分病院所在地_寛解・院内寛解[[#All],[行ラベル]]),MATCH($AX$2,状態像区分病院所在地_寛解・院内寛解[#Headers],0)),0)+IFERROR(INDEX(状態像区分病院所在地_寛解・院内寛解[#All],MATCH(4,状態像区分病院所在地_寛解・院内寛解[[#All],[行ラベル]]),MATCH($AY$2,状態像区分病院所在地_寛解・院内寛解[#Headers],0)),0)+IFERROR(INDEX(状態像区分病院所在地_寛解・院内寛解[#All],MATCH(4,状態像区分病院所在地_寛解・院内寛解[[#All],[行ラベル]]),MATCH($AZ$2,状態像区分病院所在地_寛解・院内寛解[#Headers],0)),0)</f>
        <v>1348</v>
      </c>
      <c r="AP29" s="870">
        <f>IFERROR(INDEX(状態像区分病院所在地_寛解・院内寛解[#All],MATCH(4,状態像区分病院所在地_寛解・院内寛解[[#All],[行ラベル]]),MATCH($BA$2,状態像区分病院所在地_寛解・院内寛解[#Headers],0)),0)</f>
        <v>0</v>
      </c>
      <c r="AQ29" s="871">
        <f>IFERROR(INDEX(状態像区分病院所在地_寛解・院内寛解[#All],MATCH(4,状態像区分病院所在地_寛解・院内寛解[[#All],[行ラベル]]),MATCH($BB$2,状態像区分病院所在地_寛解・院内寛解[#Headers],0)),0)</f>
        <v>506</v>
      </c>
    </row>
    <row r="30" spans="1:43" x14ac:dyDescent="0.15">
      <c r="A30" s="969"/>
      <c r="B30" s="549">
        <f t="shared" ref="B30:I30" si="19">B29/B$37</f>
        <v>0.13228035538005922</v>
      </c>
      <c r="C30" s="549">
        <f t="shared" si="19"/>
        <v>7.899461400359066E-2</v>
      </c>
      <c r="D30" s="549">
        <f t="shared" si="19"/>
        <v>0.17808219178082191</v>
      </c>
      <c r="E30" s="549">
        <f t="shared" si="19"/>
        <v>0.27336860670194002</v>
      </c>
      <c r="F30" s="549">
        <f t="shared" si="19"/>
        <v>0.19154557463672392</v>
      </c>
      <c r="G30" s="549">
        <f t="shared" si="19"/>
        <v>0.17298375605585636</v>
      </c>
      <c r="H30" s="549">
        <f t="shared" si="19"/>
        <v>0</v>
      </c>
      <c r="I30" s="549">
        <f t="shared" si="19"/>
        <v>0.18173345759552656</v>
      </c>
      <c r="J30" s="549">
        <f t="shared" si="15"/>
        <v>0.16590597900502055</v>
      </c>
      <c r="M30" s="873">
        <v>6</v>
      </c>
      <c r="N30" s="874">
        <v>25</v>
      </c>
      <c r="O30" s="874">
        <v>25</v>
      </c>
      <c r="P30" s="874">
        <v>12</v>
      </c>
      <c r="Q30" s="874">
        <v>123</v>
      </c>
      <c r="R30" s="874">
        <v>9</v>
      </c>
      <c r="S30" s="874">
        <v>26</v>
      </c>
      <c r="T30" s="874">
        <v>4</v>
      </c>
      <c r="U30" s="874">
        <v>16</v>
      </c>
      <c r="V30" s="874">
        <v>8</v>
      </c>
      <c r="W30" s="874">
        <v>2</v>
      </c>
      <c r="X30" s="874"/>
      <c r="Y30" s="874">
        <v>13</v>
      </c>
      <c r="Z30" s="874">
        <v>17</v>
      </c>
      <c r="AA30" s="874">
        <v>27</v>
      </c>
      <c r="AB30" s="874">
        <v>36</v>
      </c>
      <c r="AC30" s="874">
        <v>130</v>
      </c>
      <c r="AD30" s="874">
        <v>23</v>
      </c>
      <c r="AE30" s="874"/>
      <c r="AF30" s="873">
        <v>27</v>
      </c>
      <c r="AG30" s="875"/>
      <c r="AH30" s="626"/>
      <c r="AI30" s="872">
        <v>5</v>
      </c>
      <c r="AJ30" s="869">
        <f>IFERROR(INDEX(状態像区分病院所在地_寛解・院内寛解[#All],MATCH(5,状態像区分病院所在地_寛解・院内寛解[[#All],[行ラベル]]),MATCH($AJ$2,状態像区分病院所在地_寛解・院内寛解[#Headers],0)),0)+IFERROR(INDEX(状態像区分病院所在地_寛解・院内寛解[#All],MATCH(5,状態像区分病院所在地_寛解・院内寛解[[#All],[行ラベル]]),MATCH($AK$2,状態像区分病院所在地_寛解・院内寛解[#Headers],0)),0)+IFERROR(INDEX(状態像区分病院所在地_寛解・院内寛解[#All],MATCH(5,状態像区分病院所在地_寛解・院内寛解[[#All],[行ラベル]]),MATCH($AL$2,状態像区分病院所在地_寛解・院内寛解[#Headers],0)),0)</f>
        <v>299</v>
      </c>
      <c r="AK30" s="870">
        <f>IFERROR(INDEX(状態像区分病院所在地_寛解・院内寛解[#All],MATCH(5,状態像区分病院所在地_寛解・院内寛解[[#All],[行ラベル]]),MATCH($AM$2,状態像区分病院所在地_寛解・院内寛解[#Headers],0)),0)+IFERROR(INDEX(状態像区分病院所在地_寛解・院内寛解[#All],MATCH(5,状態像区分病院所在地_寛解・院内寛解[[#All],[行ラベル]]),MATCH($AN$2,状態像区分病院所在地_寛解・院内寛解[#Headers],0)),0)</f>
        <v>376</v>
      </c>
      <c r="AL30" s="870">
        <f>IFERROR(INDEX(状態像区分病院所在地_寛解・院内寛解[#All],MATCH(5,状態像区分病院所在地_寛解・院内寛解[[#All],[行ラベル]]),MATCH($AO$2,状態像区分病院所在地_寛解・院内寛解[#Headers],0)),0)+IFERROR(INDEX(状態像区分病院所在地_寛解・院内寛解[#All],MATCH(5,状態像区分病院所在地_寛解・院内寛解[[#All],[行ラベル]]),MATCH($AP$2,状態像区分病院所在地_寛解・院内寛解[#Headers],0)),0)+IFERROR(INDEX(状態像区分病院所在地_寛解・院内寛解[#All],MATCH(5,状態像区分病院所在地_寛解・院内寛解[[#All],[行ラベル]]),MATCH($AQ$2,状態像区分病院所在地_寛解・院内寛解[#Headers],0)),0)+IFERROR(INDEX(状態像区分病院所在地_寛解・院内寛解[#All],MATCH(5,状態像区分病院所在地_寛解・院内寛解[[#All],[行ラベル]]),MATCH($AR$2,状態像区分病院所在地_寛解・院内寛解[#Headers],0)),0)</f>
        <v>197</v>
      </c>
      <c r="AM30" s="870">
        <f>IFERROR(INDEX(状態像区分病院所在地_寛解・院内寛解[#All],MATCH(5,状態像区分病院所在地_寛解・院内寛解[[#All],[行ラベル]]),MATCH($AS$2,状態像区分病院所在地_寛解・院内寛解[#Headers],0)),0)+IFERROR(INDEX(状態像区分病院所在地_寛解・院内寛解[#All],MATCH(5,状態像区分病院所在地_寛解・院内寛解[[#All],[行ラベル]]),MATCH($AT$2,状態像区分病院所在地_寛解・院内寛解[#Headers],0)),0)+IFERROR(INDEX(状態像区分病院所在地_寛解・院内寛解[#All],MATCH(5,状態像区分病院所在地_寛解・院内寛解[[#All],[行ラベル]]),MATCH($AU$2,状態像区分病院所在地_寛解・院内寛解[#Headers],0)),0)</f>
        <v>82</v>
      </c>
      <c r="AN30" s="870">
        <f>IFERROR(INDEX(状態像区分病院所在地_寛解・院内寛解[#All],MATCH(5,状態像区分病院所在地_寛解・院内寛解[[#All],[行ラベル]]),MATCH($AV$2,状態像区分病院所在地_寛解・院内寛解[#Headers],0)),0)+IFERROR(INDEX(状態像区分病院所在地_寛解・院内寛解[#All],MATCH(5,状態像区分病院所在地_寛解・院内寛解[[#All],[行ラベル]]),MATCH($AW$2,状態像区分病院所在地_寛解・院内寛解[#Headers],0)),0)</f>
        <v>151</v>
      </c>
      <c r="AO30" s="870">
        <f>IFERROR(INDEX(状態像区分病院所在地_寛解・院内寛解[#All],MATCH(5,状態像区分病院所在地_寛解・院内寛解[[#All],[行ラベル]]),MATCH($AX$2,状態像区分病院所在地_寛解・院内寛解[#Headers],0)),0)+IFERROR(INDEX(状態像区分病院所在地_寛解・院内寛解[#All],MATCH(5,状態像区分病院所在地_寛解・院内寛解[[#All],[行ラベル]]),MATCH($AY$2,状態像区分病院所在地_寛解・院内寛解[#Headers],0)),0)+IFERROR(INDEX(状態像区分病院所在地_寛解・院内寛解[#All],MATCH(5,状態像区分病院所在地_寛解・院内寛解[[#All],[行ラベル]]),MATCH($AZ$2,状態像区分病院所在地_寛解・院内寛解[#Headers],0)),0)</f>
        <v>1194</v>
      </c>
      <c r="AP30" s="870">
        <f>IFERROR(INDEX(状態像区分病院所在地_寛解・院内寛解[#All],MATCH(5,状態像区分病院所在地_寛解・院内寛解[[#All],[行ラベル]]),MATCH($BA$2,状態像区分病院所在地_寛解・院内寛解[#Headers],0)),0)</f>
        <v>1</v>
      </c>
      <c r="AQ30" s="871">
        <f>IFERROR(INDEX(状態像区分病院所在地_寛解・院内寛解[#All],MATCH(5,状態像区分病院所在地_寛解・院内寛解[[#All],[行ラベル]]),MATCH($BB$2,状態像区分病院所在地_寛解・院内寛解[#Headers],0)),0)</f>
        <v>310</v>
      </c>
    </row>
    <row r="31" spans="1:43" ht="19.5" thickBot="1" x14ac:dyDescent="0.2">
      <c r="A31" s="968" t="s">
        <v>31</v>
      </c>
      <c r="B31" s="546">
        <f>AJ29</f>
        <v>431</v>
      </c>
      <c r="C31" s="546">
        <f t="shared" ref="C31:I31" si="20">AK29</f>
        <v>480</v>
      </c>
      <c r="D31" s="546">
        <f t="shared" si="20"/>
        <v>286</v>
      </c>
      <c r="E31" s="546">
        <f t="shared" si="20"/>
        <v>232</v>
      </c>
      <c r="F31" s="546">
        <f t="shared" si="20"/>
        <v>373</v>
      </c>
      <c r="G31" s="546">
        <f t="shared" si="20"/>
        <v>1348</v>
      </c>
      <c r="H31" s="546">
        <f t="shared" si="20"/>
        <v>0</v>
      </c>
      <c r="I31" s="546">
        <f t="shared" si="20"/>
        <v>506</v>
      </c>
      <c r="J31" s="547">
        <f>SUM(B31:I31)</f>
        <v>3656</v>
      </c>
      <c r="M31" s="836" t="s">
        <v>385</v>
      </c>
      <c r="N31" s="837">
        <v>0</v>
      </c>
      <c r="O31" s="837">
        <v>0</v>
      </c>
      <c r="P31" s="837">
        <v>0</v>
      </c>
      <c r="Q31" s="837">
        <v>0</v>
      </c>
      <c r="R31" s="837">
        <v>0</v>
      </c>
      <c r="S31" s="837">
        <v>0</v>
      </c>
      <c r="T31" s="837">
        <v>0</v>
      </c>
      <c r="U31" s="837">
        <v>0</v>
      </c>
      <c r="V31" s="837">
        <v>0</v>
      </c>
      <c r="W31" s="837">
        <v>0</v>
      </c>
      <c r="X31" s="837">
        <v>0</v>
      </c>
      <c r="Y31" s="837">
        <v>0</v>
      </c>
      <c r="Z31" s="837">
        <v>0</v>
      </c>
      <c r="AA31" s="837">
        <v>0</v>
      </c>
      <c r="AB31" s="837">
        <v>0</v>
      </c>
      <c r="AC31" s="837"/>
      <c r="AD31" s="837"/>
      <c r="AE31" s="837"/>
      <c r="AF31" s="836"/>
      <c r="AG31" s="864"/>
      <c r="AI31" s="876">
        <v>6</v>
      </c>
      <c r="AJ31" s="869">
        <f>IFERROR(INDEX(状態像区分病院所在地_寛解・院内寛解[#All],MATCH(6,状態像区分病院所在地_寛解・院内寛解[[#All],[行ラベル]]),MATCH($AJ$2,状態像区分病院所在地_寛解・院内寛解[#Headers],0)),0)+IFERROR(INDEX(状態像区分病院所在地_寛解・院内寛解[#All],MATCH(6,状態像区分病院所在地_寛解・院内寛解[[#All],[行ラベル]]),MATCH($AK$2,状態像区分病院所在地_寛解・院内寛解[#Headers],0)),0)+IFERROR(INDEX(状態像区分病院所在地_寛解・院内寛解[#All],MATCH(6,状態像区分病院所在地_寛解・院内寛解[[#All],[行ラベル]]),MATCH($AL$2,状態像区分病院所在地_寛解・院内寛解[#Headers],0)),0)</f>
        <v>62</v>
      </c>
      <c r="AK31" s="870">
        <f>IFERROR(INDEX(状態像区分病院所在地_寛解・院内寛解[#All],MATCH(6,状態像区分病院所在地_寛解・院内寛解[[#All],[行ラベル]]),MATCH($AM$2,状態像区分病院所在地_寛解・院内寛解[#Headers],0)),0)+IFERROR(INDEX(状態像区分病院所在地_寛解・院内寛解[#All],MATCH(6,状態像区分病院所在地_寛解・院内寛解[[#All],[行ラベル]]),MATCH($AN$2,状態像区分病院所在地_寛解・院内寛解[#Headers],0)),0)</f>
        <v>132</v>
      </c>
      <c r="AL31" s="870">
        <f>IFERROR(INDEX(状態像区分病院所在地_寛解・院内寛解[#All],MATCH(6,状態像区分病院所在地_寛解・院内寛解[[#All],[行ラベル]]),MATCH($AO$2,状態像区分病院所在地_寛解・院内寛解[#Headers],0)),0)+IFERROR(INDEX(状態像区分病院所在地_寛解・院内寛解[#All],MATCH(6,状態像区分病院所在地_寛解・院内寛解[[#All],[行ラベル]]),MATCH($AP$2,状態像区分病院所在地_寛解・院内寛解[#Headers],0)),0)+IFERROR(INDEX(状態像区分病院所在地_寛解・院内寛解[#All],MATCH(6,状態像区分病院所在地_寛解・院内寛解[[#All],[行ラベル]]),MATCH($AQ$2,状態像区分病院所在地_寛解・院内寛解[#Headers],0)),0)+IFERROR(INDEX(状態像区分病院所在地_寛解・院内寛解[#All],MATCH(6,状態像区分病院所在地_寛解・院内寛解[[#All],[行ラベル]]),MATCH($AR$2,状態像区分病院所在地_寛解・院内寛解[#Headers],0)),0)</f>
        <v>54</v>
      </c>
      <c r="AM31" s="870">
        <f>IFERROR(INDEX(状態像区分病院所在地_寛解・院内寛解[#All],MATCH(6,状態像区分病院所在地_寛解・院内寛解[[#All],[行ラベル]]),MATCH($AS$2,状態像区分病院所在地_寛解・院内寛解[#Headers],0)),0)+IFERROR(INDEX(状態像区分病院所在地_寛解・院内寛解[#All],MATCH(6,状態像区分病院所在地_寛解・院内寛解[[#All],[行ラベル]]),MATCH($AT$2,状態像区分病院所在地_寛解・院内寛解[#Headers],0)),0)+IFERROR(INDEX(状態像区分病院所在地_寛解・院内寛解[#All],MATCH(6,状態像区分病院所在地_寛解・院内寛解[[#All],[行ラベル]]),MATCH($AU$2,状態像区分病院所在地_寛解・院内寛解[#Headers],0)),0)</f>
        <v>15</v>
      </c>
      <c r="AN31" s="870">
        <f>IFERROR(INDEX(状態像区分病院所在地_寛解・院内寛解[#All],MATCH(6,状態像区分病院所在地_寛解・院内寛解[[#All],[行ラベル]]),MATCH($AV$2,状態像区分病院所在地_寛解・院内寛解[#Headers],0)),0)+IFERROR(INDEX(状態像区分病院所在地_寛解・院内寛解[#All],MATCH(6,状態像区分病院所在地_寛解・院内寛解[[#All],[行ラベル]]),MATCH($AW$2,状態像区分病院所在地_寛解・院内寛解[#Headers],0)),0)</f>
        <v>44</v>
      </c>
      <c r="AO31" s="870">
        <f>IFERROR(INDEX(状態像区分病院所在地_寛解・院内寛解[#All],MATCH(6,状態像区分病院所在地_寛解・院内寛解[[#All],[行ラベル]]),MATCH($AX$2,状態像区分病院所在地_寛解・院内寛解[#Headers],0)),0)+IFERROR(INDEX(状態像区分病院所在地_寛解・院内寛解[#All],MATCH(6,状態像区分病院所在地_寛解・院内寛解[[#All],[行ラベル]]),MATCH($AY$2,状態像区分病院所在地_寛解・院内寛解[#Headers],0)),0)+IFERROR(INDEX(状態像区分病院所在地_寛解・院内寛解[#All],MATCH(6,状態像区分病院所在地_寛解・院内寛解[[#All],[行ラベル]]),MATCH($AZ$2,状態像区分病院所在地_寛解・院内寛解[#Headers],0)),0)</f>
        <v>189</v>
      </c>
      <c r="AP31" s="870">
        <f>IFERROR(INDEX(状態像区分病院所在地_寛解・院内寛解[#All],MATCH(6,状態像区分病院所在地_寛解・院内寛解[[#All],[行ラベル]]),MATCH($BA$2,状態像区分病院所在地_寛解・院内寛解[#Headers],0)),0)</f>
        <v>0</v>
      </c>
      <c r="AQ31" s="871">
        <f>IFERROR(INDEX(状態像区分病院所在地_寛解・院内寛解[#All],MATCH(6,状態像区分病院所在地_寛解・院内寛解[[#All],[行ラベル]]),MATCH($BB$2,状態像区分病院所在地_寛解・院内寛解[#Headers],0)),0)</f>
        <v>27</v>
      </c>
    </row>
    <row r="32" spans="1:43" x14ac:dyDescent="0.15">
      <c r="A32" s="969"/>
      <c r="B32" s="549">
        <f t="shared" ref="B32:I32" si="21">B31/B$37</f>
        <v>0.42546890424481737</v>
      </c>
      <c r="C32" s="549">
        <f t="shared" si="21"/>
        <v>0.43087971274685816</v>
      </c>
      <c r="D32" s="549">
        <f t="shared" si="21"/>
        <v>0.39178082191780822</v>
      </c>
      <c r="E32" s="549">
        <f t="shared" si="21"/>
        <v>0.40917107583774248</v>
      </c>
      <c r="F32" s="549">
        <f t="shared" si="21"/>
        <v>0.49273447820343463</v>
      </c>
      <c r="G32" s="549">
        <f t="shared" si="21"/>
        <v>0.384155029923055</v>
      </c>
      <c r="H32" s="549">
        <f t="shared" si="21"/>
        <v>0</v>
      </c>
      <c r="I32" s="549">
        <f t="shared" si="21"/>
        <v>0.47157502329916123</v>
      </c>
      <c r="J32" s="549">
        <f t="shared" si="15"/>
        <v>0.41716111364673664</v>
      </c>
    </row>
    <row r="33" spans="1:10" x14ac:dyDescent="0.15">
      <c r="A33" s="968" t="s">
        <v>32</v>
      </c>
      <c r="B33" s="546">
        <f>AJ30</f>
        <v>299</v>
      </c>
      <c r="C33" s="546">
        <f t="shared" ref="C33:I33" si="22">AK30</f>
        <v>376</v>
      </c>
      <c r="D33" s="546">
        <f t="shared" si="22"/>
        <v>197</v>
      </c>
      <c r="E33" s="546">
        <f t="shared" si="22"/>
        <v>82</v>
      </c>
      <c r="F33" s="546">
        <f t="shared" si="22"/>
        <v>151</v>
      </c>
      <c r="G33" s="546">
        <f t="shared" si="22"/>
        <v>1194</v>
      </c>
      <c r="H33" s="546">
        <f t="shared" si="22"/>
        <v>1</v>
      </c>
      <c r="I33" s="546">
        <f t="shared" si="22"/>
        <v>310</v>
      </c>
      <c r="J33" s="547">
        <f>SUM(B33:I33)</f>
        <v>2610</v>
      </c>
    </row>
    <row r="34" spans="1:10" x14ac:dyDescent="0.15">
      <c r="A34" s="969"/>
      <c r="B34" s="549">
        <f t="shared" ref="B34:I34" si="23">B33/B$37</f>
        <v>0.29516288252714706</v>
      </c>
      <c r="C34" s="549">
        <f t="shared" si="23"/>
        <v>0.33752244165170558</v>
      </c>
      <c r="D34" s="549">
        <f t="shared" si="23"/>
        <v>0.26986301369863014</v>
      </c>
      <c r="E34" s="549">
        <f t="shared" si="23"/>
        <v>0.14462081128747795</v>
      </c>
      <c r="F34" s="549">
        <f t="shared" si="23"/>
        <v>0.19947159841479525</v>
      </c>
      <c r="G34" s="549">
        <f t="shared" si="23"/>
        <v>0.3402678825876318</v>
      </c>
      <c r="H34" s="549">
        <f t="shared" si="23"/>
        <v>1</v>
      </c>
      <c r="I34" s="549">
        <f t="shared" si="23"/>
        <v>0.28890959925442683</v>
      </c>
      <c r="J34" s="549">
        <f t="shared" si="15"/>
        <v>0.29780921953445916</v>
      </c>
    </row>
    <row r="35" spans="1:10" x14ac:dyDescent="0.15">
      <c r="A35" s="968" t="s">
        <v>33</v>
      </c>
      <c r="B35" s="546">
        <f>AJ31</f>
        <v>62</v>
      </c>
      <c r="C35" s="546">
        <f t="shared" ref="C35:I35" si="24">AK31</f>
        <v>132</v>
      </c>
      <c r="D35" s="546">
        <f t="shared" si="24"/>
        <v>54</v>
      </c>
      <c r="E35" s="546">
        <f t="shared" si="24"/>
        <v>15</v>
      </c>
      <c r="F35" s="546">
        <f t="shared" si="24"/>
        <v>44</v>
      </c>
      <c r="G35" s="546">
        <f t="shared" si="24"/>
        <v>189</v>
      </c>
      <c r="H35" s="546">
        <f t="shared" si="24"/>
        <v>0</v>
      </c>
      <c r="I35" s="546">
        <f t="shared" si="24"/>
        <v>27</v>
      </c>
      <c r="J35" s="547">
        <f>SUM(B35:I35)</f>
        <v>523</v>
      </c>
    </row>
    <row r="36" spans="1:10" x14ac:dyDescent="0.15">
      <c r="A36" s="969"/>
      <c r="B36" s="549">
        <f t="shared" ref="B36:I36" si="25">B35/B$37</f>
        <v>6.1204343534057258E-2</v>
      </c>
      <c r="C36" s="549">
        <f t="shared" si="25"/>
        <v>0.118491921005386</v>
      </c>
      <c r="D36" s="549">
        <f t="shared" si="25"/>
        <v>7.3972602739726029E-2</v>
      </c>
      <c r="E36" s="549">
        <f t="shared" si="25"/>
        <v>2.6455026455026454E-2</v>
      </c>
      <c r="F36" s="549">
        <f t="shared" si="25"/>
        <v>5.8124174372523117E-2</v>
      </c>
      <c r="G36" s="549">
        <f t="shared" si="25"/>
        <v>5.386149900256483E-2</v>
      </c>
      <c r="H36" s="549">
        <f t="shared" si="25"/>
        <v>0</v>
      </c>
      <c r="I36" s="549">
        <f t="shared" si="25"/>
        <v>2.5163094128611369E-2</v>
      </c>
      <c r="J36" s="549">
        <f t="shared" si="15"/>
        <v>5.9675947056138746E-2</v>
      </c>
    </row>
    <row r="37" spans="1:10" x14ac:dyDescent="0.15">
      <c r="A37" s="977" t="s">
        <v>161</v>
      </c>
      <c r="B37" s="840">
        <f>SUM(B25,B27,B29,B31,B33,B35)</f>
        <v>1013</v>
      </c>
      <c r="C37" s="840">
        <f t="shared" ref="C37:J37" si="26">SUM(C25,C27,C29,C31,C33,C35)</f>
        <v>1114</v>
      </c>
      <c r="D37" s="840">
        <f t="shared" si="26"/>
        <v>730</v>
      </c>
      <c r="E37" s="840">
        <f t="shared" si="26"/>
        <v>567</v>
      </c>
      <c r="F37" s="840">
        <f t="shared" si="26"/>
        <v>757</v>
      </c>
      <c r="G37" s="840">
        <f t="shared" si="26"/>
        <v>3509</v>
      </c>
      <c r="H37" s="840">
        <f t="shared" si="26"/>
        <v>1</v>
      </c>
      <c r="I37" s="840">
        <f t="shared" si="26"/>
        <v>1073</v>
      </c>
      <c r="J37" s="841">
        <f t="shared" si="26"/>
        <v>8764</v>
      </c>
    </row>
    <row r="38" spans="1:10" x14ac:dyDescent="0.15">
      <c r="A38" s="978"/>
      <c r="B38" s="842">
        <f t="shared" ref="B38:J38" si="27">SUM(B26,B28,B30,B32,B34,B36)</f>
        <v>1</v>
      </c>
      <c r="C38" s="842">
        <f t="shared" si="27"/>
        <v>0.99999999999999989</v>
      </c>
      <c r="D38" s="842">
        <f t="shared" si="27"/>
        <v>1</v>
      </c>
      <c r="E38" s="842">
        <f t="shared" si="27"/>
        <v>1</v>
      </c>
      <c r="F38" s="842">
        <f t="shared" si="27"/>
        <v>1</v>
      </c>
      <c r="G38" s="842">
        <f t="shared" si="27"/>
        <v>1</v>
      </c>
      <c r="H38" s="842">
        <f t="shared" si="27"/>
        <v>1</v>
      </c>
      <c r="I38" s="842">
        <f t="shared" si="27"/>
        <v>1</v>
      </c>
      <c r="J38" s="842">
        <f t="shared" si="27"/>
        <v>1</v>
      </c>
    </row>
  </sheetData>
  <mergeCells count="14">
    <mergeCell ref="A14:A15"/>
    <mergeCell ref="A4:A5"/>
    <mergeCell ref="A6:A7"/>
    <mergeCell ref="A8:A9"/>
    <mergeCell ref="A10:A11"/>
    <mergeCell ref="A12:A13"/>
    <mergeCell ref="A35:A36"/>
    <mergeCell ref="A37:A38"/>
    <mergeCell ref="A16:A17"/>
    <mergeCell ref="A25:A26"/>
    <mergeCell ref="A27:A28"/>
    <mergeCell ref="A29:A30"/>
    <mergeCell ref="A31:A32"/>
    <mergeCell ref="A33:A34"/>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7585" r:id="rId4" name="Button 1">
              <controlPr defaultSize="0" print="0" autoFill="0" autoPict="0">
                <anchor moveWithCells="1" sizeWithCells="1">
                  <from>
                    <xdr:col>11</xdr:col>
                    <xdr:colOff>276225</xdr:colOff>
                    <xdr:row>12</xdr:row>
                    <xdr:rowOff>66675</xdr:rowOff>
                  </from>
                  <to>
                    <xdr:col>14</xdr:col>
                    <xdr:colOff>581025</xdr:colOff>
                    <xdr:row>14</xdr:row>
                    <xdr:rowOff>123825</xdr:rowOff>
                  </to>
                </anchor>
              </controlPr>
            </control>
          </mc:Choice>
        </mc:AlternateContent>
      </controls>
    </mc:Choice>
  </mc:AlternateContent>
  <tableParts count="2">
    <tablePart r:id="rId5"/>
    <tablePart r:id="rId6"/>
  </tableParts>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7">
    <tabColor theme="9" tint="-0.499984740745262"/>
    <pageSetUpPr fitToPage="1"/>
  </sheetPr>
  <dimension ref="A1:AH89"/>
  <sheetViews>
    <sheetView showGridLines="0" view="pageBreakPreview" topLeftCell="H19" zoomScale="60" zoomScaleNormal="60" workbookViewId="0">
      <selection activeCell="M19" sqref="M1:AH1048576"/>
    </sheetView>
  </sheetViews>
  <sheetFormatPr defaultColWidth="7.125" defaultRowHeight="18.75" x14ac:dyDescent="0.15"/>
  <cols>
    <col min="1" max="1" width="33.125" style="537" customWidth="1"/>
    <col min="2" max="10" width="8.75" style="537" customWidth="1"/>
    <col min="11" max="12" width="7.25" style="537" customWidth="1"/>
    <col min="13" max="13" width="16.375" style="537" hidden="1" customWidth="1"/>
    <col min="14" max="32" width="8.5" style="537" hidden="1" customWidth="1"/>
    <col min="33" max="34" width="7.125" style="537" hidden="1" customWidth="1"/>
    <col min="35" max="37" width="7.125" style="537" customWidth="1"/>
    <col min="38" max="16384" width="7.125" style="537"/>
  </cols>
  <sheetData>
    <row r="1" spans="1:32" s="3" customFormat="1" ht="19.5" x14ac:dyDescent="0.15">
      <c r="A1" s="2" t="s">
        <v>449</v>
      </c>
    </row>
    <row r="2" spans="1:32" ht="19.5" thickBot="1" x14ac:dyDescent="0.2">
      <c r="A2" s="4"/>
    </row>
    <row r="3" spans="1:32" ht="18.75" customHeight="1" thickTop="1" thickBot="1" x14ac:dyDescent="0.2">
      <c r="A3" s="545" t="s">
        <v>240</v>
      </c>
      <c r="B3" s="545" t="s">
        <v>387</v>
      </c>
      <c r="C3" s="545" t="s">
        <v>388</v>
      </c>
      <c r="D3" s="545" t="s">
        <v>389</v>
      </c>
      <c r="E3" s="545" t="s">
        <v>390</v>
      </c>
      <c r="F3" s="545" t="s">
        <v>391</v>
      </c>
      <c r="G3" s="545" t="s">
        <v>392</v>
      </c>
      <c r="H3" s="545" t="s">
        <v>393</v>
      </c>
      <c r="I3" s="545" t="s">
        <v>394</v>
      </c>
      <c r="J3" s="545" t="s">
        <v>62</v>
      </c>
      <c r="M3" s="729" t="s">
        <v>373</v>
      </c>
      <c r="N3" s="629" t="s">
        <v>395</v>
      </c>
      <c r="O3" s="629" t="s">
        <v>396</v>
      </c>
      <c r="P3" s="629" t="s">
        <v>397</v>
      </c>
      <c r="Q3" s="629" t="s">
        <v>398</v>
      </c>
      <c r="R3" s="629" t="s">
        <v>399</v>
      </c>
      <c r="S3" s="629" t="s">
        <v>400</v>
      </c>
      <c r="T3" s="629" t="s">
        <v>401</v>
      </c>
      <c r="U3" s="629" t="s">
        <v>402</v>
      </c>
      <c r="V3" s="629" t="s">
        <v>403</v>
      </c>
      <c r="W3" s="629" t="s">
        <v>404</v>
      </c>
      <c r="X3" s="629" t="s">
        <v>565</v>
      </c>
      <c r="Y3" s="629" t="s">
        <v>566</v>
      </c>
      <c r="Z3" s="629" t="s">
        <v>567</v>
      </c>
      <c r="AA3" s="629" t="s">
        <v>568</v>
      </c>
      <c r="AB3" s="629" t="s">
        <v>569</v>
      </c>
      <c r="AC3" s="629" t="s">
        <v>570</v>
      </c>
      <c r="AD3" s="629" t="s">
        <v>571</v>
      </c>
      <c r="AE3" s="629" t="s">
        <v>572</v>
      </c>
      <c r="AF3" s="629" t="s">
        <v>573</v>
      </c>
    </row>
    <row r="4" spans="1:32" s="21" customFormat="1" ht="18.75" customHeight="1" thickTop="1" x14ac:dyDescent="0.15">
      <c r="A4" s="981" t="s">
        <v>450</v>
      </c>
      <c r="B4" s="547">
        <f>SUM(N4:P4)</f>
        <v>295</v>
      </c>
      <c r="C4" s="547">
        <f>SUM(Q4:R4)</f>
        <v>207</v>
      </c>
      <c r="D4" s="547">
        <f>SUM(S4:V4)</f>
        <v>325</v>
      </c>
      <c r="E4" s="547">
        <f>SUM(W4:Y4)</f>
        <v>249</v>
      </c>
      <c r="F4" s="547">
        <f>SUM(Z4:AA4)</f>
        <v>240</v>
      </c>
      <c r="G4" s="547">
        <f>SUM(AB4:AD4)</f>
        <v>426</v>
      </c>
      <c r="H4" s="547">
        <f>AE4</f>
        <v>22</v>
      </c>
      <c r="I4" s="547">
        <f>AF4</f>
        <v>311</v>
      </c>
      <c r="J4" s="547">
        <f>SUM(B4:I4)</f>
        <v>2075</v>
      </c>
      <c r="M4" s="630">
        <v>97</v>
      </c>
      <c r="N4" s="136">
        <v>114</v>
      </c>
      <c r="O4" s="136">
        <v>135</v>
      </c>
      <c r="P4" s="136">
        <v>46</v>
      </c>
      <c r="Q4" s="136">
        <v>65</v>
      </c>
      <c r="R4" s="136">
        <v>142</v>
      </c>
      <c r="S4" s="136">
        <v>216</v>
      </c>
      <c r="T4" s="136">
        <v>48</v>
      </c>
      <c r="U4" s="136">
        <v>42</v>
      </c>
      <c r="V4" s="136">
        <v>19</v>
      </c>
      <c r="W4" s="136">
        <v>151</v>
      </c>
      <c r="X4" s="136">
        <v>85</v>
      </c>
      <c r="Y4" s="136">
        <v>13</v>
      </c>
      <c r="Z4" s="136">
        <v>63</v>
      </c>
      <c r="AA4" s="136">
        <v>177</v>
      </c>
      <c r="AB4" s="136">
        <v>189</v>
      </c>
      <c r="AC4" s="136">
        <v>168</v>
      </c>
      <c r="AD4" s="136">
        <v>69</v>
      </c>
      <c r="AE4" s="136">
        <v>22</v>
      </c>
      <c r="AF4" s="136">
        <v>311</v>
      </c>
    </row>
    <row r="5" spans="1:32" s="21" customFormat="1" ht="18.75" customHeight="1" x14ac:dyDescent="0.15">
      <c r="A5" s="982"/>
      <c r="B5" s="569">
        <f t="shared" ref="B5:J5" si="0">B4/B$10</f>
        <v>0.17517814726840855</v>
      </c>
      <c r="C5" s="569">
        <f t="shared" si="0"/>
        <v>0.1036036036036036</v>
      </c>
      <c r="D5" s="569">
        <f t="shared" si="0"/>
        <v>0.24271844660194175</v>
      </c>
      <c r="E5" s="569">
        <f t="shared" si="0"/>
        <v>0.19544740973312402</v>
      </c>
      <c r="F5" s="569">
        <f t="shared" si="0"/>
        <v>0.19559902200488999</v>
      </c>
      <c r="G5" s="569">
        <f t="shared" si="0"/>
        <v>8.1437583636016053E-2</v>
      </c>
      <c r="H5" s="569">
        <f t="shared" si="0"/>
        <v>0.13664596273291926</v>
      </c>
      <c r="I5" s="569">
        <f t="shared" si="0"/>
        <v>0.14966313763233879</v>
      </c>
      <c r="J5" s="549">
        <f t="shared" si="0"/>
        <v>0.13840715048025615</v>
      </c>
      <c r="M5" s="630">
        <v>98</v>
      </c>
      <c r="N5" s="136">
        <v>386</v>
      </c>
      <c r="O5" s="136">
        <v>579</v>
      </c>
      <c r="P5" s="136">
        <v>238</v>
      </c>
      <c r="Q5" s="136">
        <v>1142</v>
      </c>
      <c r="R5" s="136">
        <v>395</v>
      </c>
      <c r="S5" s="136">
        <v>423</v>
      </c>
      <c r="T5" s="136">
        <v>133</v>
      </c>
      <c r="U5" s="136">
        <v>135</v>
      </c>
      <c r="V5" s="136">
        <v>152</v>
      </c>
      <c r="W5" s="136">
        <v>526</v>
      </c>
      <c r="X5" s="136">
        <v>149</v>
      </c>
      <c r="Y5" s="136">
        <v>123</v>
      </c>
      <c r="Z5" s="136">
        <v>283</v>
      </c>
      <c r="AA5" s="136">
        <v>538</v>
      </c>
      <c r="AB5" s="136">
        <v>1306</v>
      </c>
      <c r="AC5" s="136">
        <v>2049</v>
      </c>
      <c r="AD5" s="136">
        <v>1144</v>
      </c>
      <c r="AE5" s="136">
        <v>96</v>
      </c>
      <c r="AF5" s="136">
        <v>1499</v>
      </c>
    </row>
    <row r="6" spans="1:32" s="21" customFormat="1" ht="18.75" customHeight="1" x14ac:dyDescent="0.15">
      <c r="A6" s="981" t="s">
        <v>343</v>
      </c>
      <c r="B6" s="547">
        <f>SUM(N5:P5)</f>
        <v>1203</v>
      </c>
      <c r="C6" s="547">
        <f>SUM(Q5:R5)</f>
        <v>1537</v>
      </c>
      <c r="D6" s="547">
        <f>SUM(S5:V5)</f>
        <v>843</v>
      </c>
      <c r="E6" s="547">
        <f>SUM(W5:Y5)</f>
        <v>798</v>
      </c>
      <c r="F6" s="547">
        <f>SUM(Z5:AA5)</f>
        <v>821</v>
      </c>
      <c r="G6" s="547">
        <f>SUM(AB5:AD5)</f>
        <v>4499</v>
      </c>
      <c r="H6" s="547">
        <f>AE5</f>
        <v>96</v>
      </c>
      <c r="I6" s="547">
        <f>AF5</f>
        <v>1499</v>
      </c>
      <c r="J6" s="547">
        <f>SUM(B6:I6)</f>
        <v>11296</v>
      </c>
      <c r="M6" s="630">
        <v>99</v>
      </c>
      <c r="N6" s="136">
        <v>30</v>
      </c>
      <c r="O6" s="136">
        <v>136</v>
      </c>
      <c r="P6" s="136">
        <v>20</v>
      </c>
      <c r="Q6" s="136">
        <v>143</v>
      </c>
      <c r="R6" s="136">
        <v>111</v>
      </c>
      <c r="S6" s="136">
        <v>65</v>
      </c>
      <c r="T6" s="136">
        <v>46</v>
      </c>
      <c r="U6" s="136">
        <v>42</v>
      </c>
      <c r="V6" s="136">
        <v>18</v>
      </c>
      <c r="W6" s="136">
        <v>58</v>
      </c>
      <c r="X6" s="136">
        <v>124</v>
      </c>
      <c r="Y6" s="136">
        <v>45</v>
      </c>
      <c r="Z6" s="136">
        <v>116</v>
      </c>
      <c r="AA6" s="136">
        <v>50</v>
      </c>
      <c r="AB6" s="136">
        <v>151</v>
      </c>
      <c r="AC6" s="136">
        <v>118</v>
      </c>
      <c r="AD6" s="136">
        <v>37</v>
      </c>
      <c r="AE6" s="136">
        <v>43</v>
      </c>
      <c r="AF6" s="136">
        <v>268</v>
      </c>
    </row>
    <row r="7" spans="1:32" s="21" customFormat="1" ht="18.75" customHeight="1" x14ac:dyDescent="0.15">
      <c r="A7" s="982"/>
      <c r="B7" s="569">
        <f t="shared" ref="B7:J7" si="1">B6/B$10</f>
        <v>0.71437054631828978</v>
      </c>
      <c r="C7" s="569">
        <f t="shared" si="1"/>
        <v>0.76926926926926931</v>
      </c>
      <c r="D7" s="569">
        <f t="shared" si="1"/>
        <v>0.62957430918595969</v>
      </c>
      <c r="E7" s="569">
        <f t="shared" si="1"/>
        <v>0.62637362637362637</v>
      </c>
      <c r="F7" s="569">
        <f t="shared" si="1"/>
        <v>0.66911165444172782</v>
      </c>
      <c r="G7" s="569">
        <f t="shared" si="1"/>
        <v>0.86006499713247941</v>
      </c>
      <c r="H7" s="569">
        <f t="shared" si="1"/>
        <v>0.59627329192546585</v>
      </c>
      <c r="I7" s="569">
        <f t="shared" si="1"/>
        <v>0.72136669874879689</v>
      </c>
      <c r="J7" s="569">
        <f t="shared" si="1"/>
        <v>0.75346851654215585</v>
      </c>
      <c r="M7" s="630" t="s">
        <v>385</v>
      </c>
      <c r="N7" s="58"/>
      <c r="O7" s="58"/>
      <c r="P7" s="58"/>
      <c r="Q7" s="58"/>
      <c r="R7" s="58"/>
      <c r="S7" s="58"/>
      <c r="T7" s="58"/>
      <c r="U7" s="58"/>
      <c r="V7" s="58"/>
      <c r="W7" s="58"/>
      <c r="X7" s="58"/>
      <c r="Y7" s="58"/>
      <c r="Z7" s="58"/>
      <c r="AA7" s="58"/>
      <c r="AB7" s="58"/>
      <c r="AC7" s="58"/>
      <c r="AD7" s="58"/>
      <c r="AE7" s="58"/>
      <c r="AF7" s="58"/>
    </row>
    <row r="8" spans="1:32" s="21" customFormat="1" ht="18.75" customHeight="1" x14ac:dyDescent="0.15">
      <c r="A8" s="983" t="s">
        <v>36</v>
      </c>
      <c r="B8" s="547">
        <f>SUM(N6:P6)</f>
        <v>186</v>
      </c>
      <c r="C8" s="547">
        <f>SUM(Q6:R6)</f>
        <v>254</v>
      </c>
      <c r="D8" s="547">
        <f>SUM(S6:V6)</f>
        <v>171</v>
      </c>
      <c r="E8" s="547">
        <f>SUM(W6:Y6)</f>
        <v>227</v>
      </c>
      <c r="F8" s="547">
        <f>SUM(Z6:AA6)</f>
        <v>166</v>
      </c>
      <c r="G8" s="547">
        <f>SUM(AB6:AD6)</f>
        <v>306</v>
      </c>
      <c r="H8" s="547">
        <f>AE6</f>
        <v>43</v>
      </c>
      <c r="I8" s="547">
        <f>AF6</f>
        <v>268</v>
      </c>
      <c r="J8" s="547">
        <f>SUM(B8:I8)</f>
        <v>1621</v>
      </c>
    </row>
    <row r="9" spans="1:32" s="21" customFormat="1" ht="18.75" customHeight="1" x14ac:dyDescent="0.15">
      <c r="A9" s="984"/>
      <c r="B9" s="569">
        <f>B8/B$10</f>
        <v>0.11045130641330166</v>
      </c>
      <c r="C9" s="569">
        <f t="shared" ref="C9:J9" si="2">C8/C$10</f>
        <v>0.12712712712712712</v>
      </c>
      <c r="D9" s="569">
        <f t="shared" si="2"/>
        <v>0.12770724421209859</v>
      </c>
      <c r="E9" s="569">
        <f t="shared" si="2"/>
        <v>0.17817896389324961</v>
      </c>
      <c r="F9" s="569">
        <f t="shared" si="2"/>
        <v>0.13528932355338225</v>
      </c>
      <c r="G9" s="569">
        <f t="shared" si="2"/>
        <v>5.8497419231504491E-2</v>
      </c>
      <c r="H9" s="569">
        <f t="shared" si="2"/>
        <v>0.26708074534161491</v>
      </c>
      <c r="I9" s="569">
        <f t="shared" si="2"/>
        <v>0.12897016361886429</v>
      </c>
      <c r="J9" s="569">
        <f t="shared" si="2"/>
        <v>0.10812433297758804</v>
      </c>
    </row>
    <row r="10" spans="1:32" s="21" customFormat="1" ht="18.75" customHeight="1" x14ac:dyDescent="0.15">
      <c r="A10" s="971" t="s">
        <v>161</v>
      </c>
      <c r="B10" s="550">
        <f>SUM(B4,B6,B8)</f>
        <v>1684</v>
      </c>
      <c r="C10" s="550">
        <f t="shared" ref="C10:J11" si="3">SUM(C4,C6,C8)</f>
        <v>1998</v>
      </c>
      <c r="D10" s="550">
        <f t="shared" si="3"/>
        <v>1339</v>
      </c>
      <c r="E10" s="550">
        <f t="shared" si="3"/>
        <v>1274</v>
      </c>
      <c r="F10" s="550">
        <f t="shared" si="3"/>
        <v>1227</v>
      </c>
      <c r="G10" s="550">
        <f t="shared" si="3"/>
        <v>5231</v>
      </c>
      <c r="H10" s="550">
        <f t="shared" si="3"/>
        <v>161</v>
      </c>
      <c r="I10" s="550">
        <f t="shared" si="3"/>
        <v>2078</v>
      </c>
      <c r="J10" s="550">
        <f>SUM(J4,J6,J8)</f>
        <v>14992</v>
      </c>
    </row>
    <row r="11" spans="1:32" s="21" customFormat="1" ht="18.75" customHeight="1" x14ac:dyDescent="0.15">
      <c r="A11" s="969"/>
      <c r="B11" s="552">
        <f>SUM(B5,B7,B9)</f>
        <v>1</v>
      </c>
      <c r="C11" s="552">
        <f t="shared" si="3"/>
        <v>1</v>
      </c>
      <c r="D11" s="552">
        <f t="shared" si="3"/>
        <v>1</v>
      </c>
      <c r="E11" s="552">
        <f t="shared" si="3"/>
        <v>1</v>
      </c>
      <c r="F11" s="552">
        <f t="shared" si="3"/>
        <v>1</v>
      </c>
      <c r="G11" s="552">
        <f t="shared" si="3"/>
        <v>1</v>
      </c>
      <c r="H11" s="552">
        <f t="shared" si="3"/>
        <v>1</v>
      </c>
      <c r="I11" s="552">
        <f t="shared" si="3"/>
        <v>1</v>
      </c>
      <c r="J11" s="552">
        <f t="shared" si="3"/>
        <v>1</v>
      </c>
    </row>
    <row r="12" spans="1:32" ht="18.75" customHeight="1" thickBot="1" x14ac:dyDescent="0.2">
      <c r="A12" s="4"/>
    </row>
    <row r="13" spans="1:32" ht="18.75" customHeight="1" thickTop="1" thickBot="1" x14ac:dyDescent="0.2">
      <c r="A13" s="545" t="s">
        <v>346</v>
      </c>
      <c r="B13" s="545" t="s">
        <v>387</v>
      </c>
      <c r="C13" s="545" t="s">
        <v>388</v>
      </c>
      <c r="D13" s="545" t="s">
        <v>389</v>
      </c>
      <c r="E13" s="545" t="s">
        <v>390</v>
      </c>
      <c r="F13" s="545" t="s">
        <v>391</v>
      </c>
      <c r="G13" s="545" t="s">
        <v>392</v>
      </c>
      <c r="H13" s="545" t="s">
        <v>393</v>
      </c>
      <c r="I13" s="545" t="s">
        <v>394</v>
      </c>
      <c r="J13" s="545" t="s">
        <v>62</v>
      </c>
      <c r="M13" s="729" t="s">
        <v>373</v>
      </c>
      <c r="N13" s="629" t="s">
        <v>395</v>
      </c>
      <c r="O13" s="629" t="s">
        <v>396</v>
      </c>
      <c r="P13" s="629" t="s">
        <v>397</v>
      </c>
      <c r="Q13" s="629" t="s">
        <v>398</v>
      </c>
      <c r="R13" s="629" t="s">
        <v>399</v>
      </c>
      <c r="S13" s="629" t="s">
        <v>400</v>
      </c>
      <c r="T13" s="629" t="s">
        <v>401</v>
      </c>
      <c r="U13" s="629" t="s">
        <v>402</v>
      </c>
      <c r="V13" s="629" t="s">
        <v>403</v>
      </c>
      <c r="W13" s="629" t="s">
        <v>404</v>
      </c>
      <c r="X13" s="629" t="s">
        <v>565</v>
      </c>
      <c r="Y13" s="629" t="s">
        <v>566</v>
      </c>
      <c r="Z13" s="629" t="s">
        <v>567</v>
      </c>
      <c r="AA13" s="629" t="s">
        <v>568</v>
      </c>
      <c r="AB13" s="629" t="s">
        <v>569</v>
      </c>
      <c r="AC13" s="629" t="s">
        <v>570</v>
      </c>
      <c r="AD13" s="629" t="s">
        <v>571</v>
      </c>
      <c r="AE13" s="629" t="s">
        <v>572</v>
      </c>
      <c r="AF13" s="629" t="s">
        <v>573</v>
      </c>
    </row>
    <row r="14" spans="1:32" s="21" customFormat="1" ht="18.75" customHeight="1" thickTop="1" x14ac:dyDescent="0.15">
      <c r="A14" s="979" t="s">
        <v>34</v>
      </c>
      <c r="B14" s="547">
        <f>SUM(N14:P14)</f>
        <v>263</v>
      </c>
      <c r="C14" s="547">
        <f>SUM(Q14:R14)</f>
        <v>189</v>
      </c>
      <c r="D14" s="547">
        <f>SUM(S14:V14)</f>
        <v>306</v>
      </c>
      <c r="E14" s="547">
        <f>SUM(W14:Y14)</f>
        <v>221</v>
      </c>
      <c r="F14" s="547">
        <f>SUM(Z14:AA14)</f>
        <v>205</v>
      </c>
      <c r="G14" s="547">
        <f>SUM(AB14:AD14)</f>
        <v>350</v>
      </c>
      <c r="H14" s="547">
        <f>AE14</f>
        <v>11</v>
      </c>
      <c r="I14" s="547">
        <f>AF14</f>
        <v>284</v>
      </c>
      <c r="J14" s="547">
        <f>SUM(B14:I14)</f>
        <v>1829</v>
      </c>
      <c r="M14" s="630">
        <v>91</v>
      </c>
      <c r="N14" s="136">
        <v>114</v>
      </c>
      <c r="O14" s="136">
        <v>112</v>
      </c>
      <c r="P14" s="136">
        <v>37</v>
      </c>
      <c r="Q14" s="136">
        <v>61</v>
      </c>
      <c r="R14" s="136">
        <v>128</v>
      </c>
      <c r="S14" s="136">
        <v>198</v>
      </c>
      <c r="T14" s="136">
        <v>47</v>
      </c>
      <c r="U14" s="136">
        <v>42</v>
      </c>
      <c r="V14" s="136">
        <v>19</v>
      </c>
      <c r="W14" s="136">
        <v>125</v>
      </c>
      <c r="X14" s="136">
        <v>83</v>
      </c>
      <c r="Y14" s="136">
        <v>13</v>
      </c>
      <c r="Z14" s="136">
        <v>63</v>
      </c>
      <c r="AA14" s="136">
        <v>142</v>
      </c>
      <c r="AB14" s="136">
        <v>154</v>
      </c>
      <c r="AC14" s="136">
        <v>138</v>
      </c>
      <c r="AD14" s="136">
        <v>58</v>
      </c>
      <c r="AE14" s="136">
        <v>11</v>
      </c>
      <c r="AF14" s="136">
        <v>284</v>
      </c>
    </row>
    <row r="15" spans="1:32" s="21" customFormat="1" ht="18.75" customHeight="1" x14ac:dyDescent="0.15">
      <c r="A15" s="980"/>
      <c r="B15" s="569">
        <f>B14/B$18</f>
        <v>0.8915254237288136</v>
      </c>
      <c r="C15" s="569">
        <f t="shared" ref="C15:J15" si="4">C14/C$18</f>
        <v>0.91304347826086951</v>
      </c>
      <c r="D15" s="569">
        <f t="shared" si="4"/>
        <v>0.94153846153846155</v>
      </c>
      <c r="E15" s="569">
        <f t="shared" si="4"/>
        <v>0.8875502008032129</v>
      </c>
      <c r="F15" s="569">
        <f t="shared" si="4"/>
        <v>0.85416666666666663</v>
      </c>
      <c r="G15" s="569">
        <f t="shared" si="4"/>
        <v>0.82159624413145538</v>
      </c>
      <c r="H15" s="569">
        <f t="shared" si="4"/>
        <v>0.5</v>
      </c>
      <c r="I15" s="569">
        <f t="shared" si="4"/>
        <v>0.91318327974276525</v>
      </c>
      <c r="J15" s="569">
        <f t="shared" si="4"/>
        <v>0.88144578313253008</v>
      </c>
      <c r="M15" s="630">
        <v>90</v>
      </c>
      <c r="N15" s="136"/>
      <c r="O15" s="136">
        <v>23</v>
      </c>
      <c r="P15" s="136">
        <v>9</v>
      </c>
      <c r="Q15" s="136">
        <v>4</v>
      </c>
      <c r="R15" s="136">
        <v>14</v>
      </c>
      <c r="S15" s="136">
        <v>18</v>
      </c>
      <c r="T15" s="136">
        <v>1</v>
      </c>
      <c r="U15" s="136"/>
      <c r="V15" s="136"/>
      <c r="W15" s="136">
        <v>26</v>
      </c>
      <c r="X15" s="136">
        <v>2</v>
      </c>
      <c r="Y15" s="136"/>
      <c r="Z15" s="136"/>
      <c r="AA15" s="136">
        <v>35</v>
      </c>
      <c r="AB15" s="136">
        <v>35</v>
      </c>
      <c r="AC15" s="136">
        <v>30</v>
      </c>
      <c r="AD15" s="136">
        <v>11</v>
      </c>
      <c r="AE15" s="136">
        <v>11</v>
      </c>
      <c r="AF15" s="136">
        <v>27</v>
      </c>
    </row>
    <row r="16" spans="1:32" s="21" customFormat="1" ht="18.75" customHeight="1" x14ac:dyDescent="0.15">
      <c r="A16" s="979" t="s">
        <v>451</v>
      </c>
      <c r="B16" s="547">
        <f>SUM(N15:P15)</f>
        <v>32</v>
      </c>
      <c r="C16" s="547">
        <f>SUM(Q15:R15)</f>
        <v>18</v>
      </c>
      <c r="D16" s="547">
        <f>SUM(S15:V15)</f>
        <v>19</v>
      </c>
      <c r="E16" s="547">
        <f>SUM(W15:Y15)</f>
        <v>28</v>
      </c>
      <c r="F16" s="547">
        <f>SUM(Z15:AA15)</f>
        <v>35</v>
      </c>
      <c r="G16" s="547">
        <f>SUM(AB15:AD15)</f>
        <v>76</v>
      </c>
      <c r="H16" s="547">
        <f>AE15</f>
        <v>11</v>
      </c>
      <c r="I16" s="547">
        <f>AF15</f>
        <v>27</v>
      </c>
      <c r="J16" s="547">
        <f>SUM(B16:I16)</f>
        <v>246</v>
      </c>
      <c r="M16" s="630"/>
      <c r="N16" s="136">
        <v>416</v>
      </c>
      <c r="O16" s="136">
        <v>715</v>
      </c>
      <c r="P16" s="136">
        <v>258</v>
      </c>
      <c r="Q16" s="136">
        <v>1285</v>
      </c>
      <c r="R16" s="136">
        <v>506</v>
      </c>
      <c r="S16" s="136">
        <v>488</v>
      </c>
      <c r="T16" s="136">
        <v>179</v>
      </c>
      <c r="U16" s="136">
        <v>177</v>
      </c>
      <c r="V16" s="136">
        <v>170</v>
      </c>
      <c r="W16" s="136">
        <v>584</v>
      </c>
      <c r="X16" s="136">
        <v>273</v>
      </c>
      <c r="Y16" s="136">
        <v>168</v>
      </c>
      <c r="Z16" s="136">
        <v>399</v>
      </c>
      <c r="AA16" s="136">
        <v>588</v>
      </c>
      <c r="AB16" s="136">
        <v>1457</v>
      </c>
      <c r="AC16" s="136">
        <v>2167</v>
      </c>
      <c r="AD16" s="136">
        <v>1181</v>
      </c>
      <c r="AE16" s="136">
        <v>139</v>
      </c>
      <c r="AF16" s="136">
        <v>1767</v>
      </c>
    </row>
    <row r="17" spans="1:33" s="21" customFormat="1" ht="18.75" customHeight="1" x14ac:dyDescent="0.15">
      <c r="A17" s="980"/>
      <c r="B17" s="569">
        <f>B16/B$18</f>
        <v>0.10847457627118644</v>
      </c>
      <c r="C17" s="569">
        <f t="shared" ref="C17:J17" si="5">C16/C$18</f>
        <v>8.6956521739130432E-2</v>
      </c>
      <c r="D17" s="569">
        <f t="shared" si="5"/>
        <v>5.8461538461538461E-2</v>
      </c>
      <c r="E17" s="569">
        <f t="shared" si="5"/>
        <v>0.11244979919678715</v>
      </c>
      <c r="F17" s="569">
        <f t="shared" si="5"/>
        <v>0.14583333333333334</v>
      </c>
      <c r="G17" s="569">
        <f t="shared" si="5"/>
        <v>0.17840375586854459</v>
      </c>
      <c r="H17" s="569">
        <f t="shared" si="5"/>
        <v>0.5</v>
      </c>
      <c r="I17" s="569">
        <f t="shared" si="5"/>
        <v>8.6816720257234734E-2</v>
      </c>
      <c r="J17" s="569">
        <f t="shared" si="5"/>
        <v>0.11855421686746988</v>
      </c>
      <c r="M17" s="402"/>
    </row>
    <row r="18" spans="1:33" s="21" customFormat="1" ht="18.75" customHeight="1" x14ac:dyDescent="0.15">
      <c r="A18" s="971" t="s">
        <v>161</v>
      </c>
      <c r="B18" s="550">
        <f>SUM(B14,B16)</f>
        <v>295</v>
      </c>
      <c r="C18" s="550">
        <f t="shared" ref="C18:J19" si="6">SUM(C14,C16)</f>
        <v>207</v>
      </c>
      <c r="D18" s="550">
        <f t="shared" si="6"/>
        <v>325</v>
      </c>
      <c r="E18" s="550">
        <f t="shared" si="6"/>
        <v>249</v>
      </c>
      <c r="F18" s="550">
        <f t="shared" si="6"/>
        <v>240</v>
      </c>
      <c r="G18" s="550">
        <f t="shared" si="6"/>
        <v>426</v>
      </c>
      <c r="H18" s="550">
        <f t="shared" si="6"/>
        <v>22</v>
      </c>
      <c r="I18" s="550">
        <f t="shared" si="6"/>
        <v>311</v>
      </c>
      <c r="J18" s="550">
        <f t="shared" si="6"/>
        <v>2075</v>
      </c>
    </row>
    <row r="19" spans="1:33" s="21" customFormat="1" ht="18.75" customHeight="1" x14ac:dyDescent="0.15">
      <c r="A19" s="969"/>
      <c r="B19" s="552">
        <f>SUM(B15,B17)</f>
        <v>1</v>
      </c>
      <c r="C19" s="552">
        <f t="shared" si="6"/>
        <v>1</v>
      </c>
      <c r="D19" s="552">
        <f t="shared" si="6"/>
        <v>1</v>
      </c>
      <c r="E19" s="552">
        <f t="shared" si="6"/>
        <v>1</v>
      </c>
      <c r="F19" s="552">
        <f t="shared" si="6"/>
        <v>1</v>
      </c>
      <c r="G19" s="552">
        <f t="shared" si="6"/>
        <v>1</v>
      </c>
      <c r="H19" s="552">
        <f t="shared" si="6"/>
        <v>1</v>
      </c>
      <c r="I19" s="552">
        <f t="shared" si="6"/>
        <v>1</v>
      </c>
      <c r="J19" s="552">
        <f t="shared" si="6"/>
        <v>1</v>
      </c>
    </row>
    <row r="20" spans="1:33" s="58" customFormat="1" ht="18.75" customHeight="1" x14ac:dyDescent="0.15">
      <c r="A20" s="57"/>
      <c r="B20" s="570"/>
      <c r="C20" s="570"/>
      <c r="D20" s="570"/>
      <c r="E20" s="570"/>
      <c r="F20" s="570"/>
      <c r="G20" s="570"/>
      <c r="H20" s="570"/>
      <c r="I20" s="570"/>
      <c r="J20" s="570"/>
    </row>
    <row r="21" spans="1:33" s="3" customFormat="1" ht="18.75" customHeight="1" x14ac:dyDescent="0.15">
      <c r="A21" s="2" t="s">
        <v>452</v>
      </c>
    </row>
    <row r="22" spans="1:33" ht="18.75" customHeight="1" thickBot="1" x14ac:dyDescent="0.2">
      <c r="A22" s="4"/>
    </row>
    <row r="23" spans="1:33" ht="18.75" customHeight="1" thickTop="1" thickBot="1" x14ac:dyDescent="0.2">
      <c r="A23" s="545"/>
      <c r="B23" s="545" t="s">
        <v>387</v>
      </c>
      <c r="C23" s="545" t="s">
        <v>388</v>
      </c>
      <c r="D23" s="545" t="s">
        <v>389</v>
      </c>
      <c r="E23" s="545" t="s">
        <v>390</v>
      </c>
      <c r="F23" s="545" t="s">
        <v>391</v>
      </c>
      <c r="G23" s="545" t="s">
        <v>392</v>
      </c>
      <c r="H23" s="545" t="s">
        <v>393</v>
      </c>
      <c r="I23" s="545" t="s">
        <v>394</v>
      </c>
      <c r="J23" s="545" t="s">
        <v>62</v>
      </c>
      <c r="M23" s="729" t="s">
        <v>619</v>
      </c>
      <c r="N23" s="634" t="s">
        <v>395</v>
      </c>
      <c r="O23" s="634" t="s">
        <v>396</v>
      </c>
      <c r="P23" s="634" t="s">
        <v>397</v>
      </c>
      <c r="Q23" s="634" t="s">
        <v>398</v>
      </c>
      <c r="R23" s="634" t="s">
        <v>399</v>
      </c>
      <c r="S23" s="634" t="s">
        <v>400</v>
      </c>
      <c r="T23" s="634" t="s">
        <v>401</v>
      </c>
      <c r="U23" s="634" t="s">
        <v>402</v>
      </c>
      <c r="V23" s="634" t="s">
        <v>403</v>
      </c>
      <c r="W23" s="634" t="s">
        <v>404</v>
      </c>
      <c r="X23" s="634" t="s">
        <v>565</v>
      </c>
      <c r="Y23" s="634" t="s">
        <v>566</v>
      </c>
      <c r="Z23" s="634" t="s">
        <v>567</v>
      </c>
      <c r="AA23" s="634" t="s">
        <v>568</v>
      </c>
      <c r="AB23" s="634" t="s">
        <v>569</v>
      </c>
      <c r="AC23" s="634" t="s">
        <v>570</v>
      </c>
      <c r="AD23" s="634" t="s">
        <v>571</v>
      </c>
      <c r="AE23" s="634" t="s">
        <v>572</v>
      </c>
      <c r="AF23" s="634" t="s">
        <v>573</v>
      </c>
      <c r="AG23" s="634" t="s">
        <v>607</v>
      </c>
    </row>
    <row r="24" spans="1:33" ht="18.75" customHeight="1" thickTop="1" x14ac:dyDescent="0.15">
      <c r="A24" s="987" t="s">
        <v>235</v>
      </c>
      <c r="B24" s="546">
        <f>SUM(N24:P24)</f>
        <v>106</v>
      </c>
      <c r="C24" s="546">
        <f>SUM(Q24:R24)</f>
        <v>44</v>
      </c>
      <c r="D24" s="546">
        <f>SUM(S24:V24)</f>
        <v>111</v>
      </c>
      <c r="E24" s="546">
        <f>SUM(W24:Y24)</f>
        <v>91</v>
      </c>
      <c r="F24" s="546">
        <f>SUM(Z24:AA24)</f>
        <v>97</v>
      </c>
      <c r="G24" s="546">
        <f>SUM(AB24:AD24)</f>
        <v>128</v>
      </c>
      <c r="H24" s="546">
        <f>AE24</f>
        <v>3</v>
      </c>
      <c r="I24" s="546">
        <f>AF24</f>
        <v>90</v>
      </c>
      <c r="J24" s="547">
        <f>SUM(B24:I24)</f>
        <v>670</v>
      </c>
      <c r="M24" s="635" t="s">
        <v>309</v>
      </c>
      <c r="N24" s="636">
        <v>58</v>
      </c>
      <c r="O24" s="636">
        <v>42</v>
      </c>
      <c r="P24" s="636">
        <v>6</v>
      </c>
      <c r="Q24" s="636">
        <v>13</v>
      </c>
      <c r="R24" s="636">
        <v>31</v>
      </c>
      <c r="S24" s="636">
        <v>80</v>
      </c>
      <c r="T24" s="636">
        <v>24</v>
      </c>
      <c r="U24" s="636">
        <v>4</v>
      </c>
      <c r="V24" s="636">
        <v>3</v>
      </c>
      <c r="W24" s="636">
        <v>48</v>
      </c>
      <c r="X24" s="636">
        <v>40</v>
      </c>
      <c r="Y24" s="636">
        <v>3</v>
      </c>
      <c r="Z24" s="636">
        <v>31</v>
      </c>
      <c r="AA24" s="636">
        <v>66</v>
      </c>
      <c r="AB24" s="636">
        <v>43</v>
      </c>
      <c r="AC24" s="636">
        <v>48</v>
      </c>
      <c r="AD24" s="636">
        <v>37</v>
      </c>
      <c r="AE24" s="636">
        <v>3</v>
      </c>
      <c r="AF24" s="636">
        <v>90</v>
      </c>
      <c r="AG24" s="636"/>
    </row>
    <row r="25" spans="1:33" ht="18.75" customHeight="1" x14ac:dyDescent="0.15">
      <c r="A25" s="988"/>
      <c r="B25" s="569">
        <f>B24/B$14</f>
        <v>0.40304182509505704</v>
      </c>
      <c r="C25" s="569">
        <f t="shared" ref="C25:J25" si="7">C24/C$14</f>
        <v>0.23280423280423279</v>
      </c>
      <c r="D25" s="569">
        <f t="shared" si="7"/>
        <v>0.36274509803921567</v>
      </c>
      <c r="E25" s="569">
        <f t="shared" si="7"/>
        <v>0.41176470588235292</v>
      </c>
      <c r="F25" s="569">
        <f t="shared" si="7"/>
        <v>0.47317073170731705</v>
      </c>
      <c r="G25" s="569">
        <f t="shared" si="7"/>
        <v>0.36571428571428571</v>
      </c>
      <c r="H25" s="569">
        <f t="shared" si="7"/>
        <v>0.27272727272727271</v>
      </c>
      <c r="I25" s="569">
        <f t="shared" si="7"/>
        <v>0.31690140845070425</v>
      </c>
      <c r="J25" s="569">
        <f t="shared" si="7"/>
        <v>0.36632039365773644</v>
      </c>
      <c r="M25" s="635" t="s">
        <v>310</v>
      </c>
      <c r="N25" s="636">
        <v>46</v>
      </c>
      <c r="O25" s="636">
        <v>31</v>
      </c>
      <c r="P25" s="636">
        <v>1</v>
      </c>
      <c r="Q25" s="636">
        <v>5</v>
      </c>
      <c r="R25" s="636">
        <v>72</v>
      </c>
      <c r="S25" s="636">
        <v>51</v>
      </c>
      <c r="T25" s="636">
        <v>19</v>
      </c>
      <c r="U25" s="636">
        <v>16</v>
      </c>
      <c r="V25" s="636">
        <v>3</v>
      </c>
      <c r="W25" s="636">
        <v>35</v>
      </c>
      <c r="X25" s="636">
        <v>25</v>
      </c>
      <c r="Y25" s="636">
        <v>3</v>
      </c>
      <c r="Z25" s="636">
        <v>32</v>
      </c>
      <c r="AA25" s="636">
        <v>38</v>
      </c>
      <c r="AB25" s="636">
        <v>32</v>
      </c>
      <c r="AC25" s="636">
        <v>56</v>
      </c>
      <c r="AD25" s="636">
        <v>24</v>
      </c>
      <c r="AE25" s="636">
        <v>1</v>
      </c>
      <c r="AF25" s="636">
        <v>80</v>
      </c>
      <c r="AG25" s="636"/>
    </row>
    <row r="26" spans="1:33" ht="18.75" customHeight="1" x14ac:dyDescent="0.15">
      <c r="A26" s="985" t="s">
        <v>66</v>
      </c>
      <c r="B26" s="546">
        <f>SUM(N25:P25)</f>
        <v>78</v>
      </c>
      <c r="C26" s="546">
        <f>SUM(Q25:R25)</f>
        <v>77</v>
      </c>
      <c r="D26" s="546">
        <f>SUM(S25:V25)</f>
        <v>89</v>
      </c>
      <c r="E26" s="546">
        <f>SUM(W25:Y25)</f>
        <v>63</v>
      </c>
      <c r="F26" s="546">
        <f>SUM(Z25:AA25)</f>
        <v>70</v>
      </c>
      <c r="G26" s="546">
        <f>SUM(AB25:AD25)</f>
        <v>112</v>
      </c>
      <c r="H26" s="546">
        <f>AE25</f>
        <v>1</v>
      </c>
      <c r="I26" s="546">
        <f>AF25</f>
        <v>80</v>
      </c>
      <c r="J26" s="547">
        <f t="shared" ref="J26" si="8">SUM(B26:I26)</f>
        <v>570</v>
      </c>
      <c r="M26" s="635" t="s">
        <v>166</v>
      </c>
      <c r="N26" s="636">
        <v>7</v>
      </c>
      <c r="O26" s="636">
        <v>5</v>
      </c>
      <c r="P26" s="636">
        <v>1</v>
      </c>
      <c r="Q26" s="636">
        <v>1</v>
      </c>
      <c r="R26" s="636">
        <v>3</v>
      </c>
      <c r="S26" s="636">
        <v>13</v>
      </c>
      <c r="T26" s="636">
        <v>6</v>
      </c>
      <c r="U26" s="636">
        <v>2</v>
      </c>
      <c r="V26" s="636">
        <v>1</v>
      </c>
      <c r="W26" s="636">
        <v>4</v>
      </c>
      <c r="X26" s="636">
        <v>0</v>
      </c>
      <c r="Y26" s="636">
        <v>2</v>
      </c>
      <c r="Z26" s="636">
        <v>5</v>
      </c>
      <c r="AA26" s="636">
        <v>9</v>
      </c>
      <c r="AB26" s="636">
        <v>10</v>
      </c>
      <c r="AC26" s="636">
        <v>2</v>
      </c>
      <c r="AD26" s="636">
        <v>2</v>
      </c>
      <c r="AE26" s="636">
        <v>0</v>
      </c>
      <c r="AF26" s="636">
        <v>18</v>
      </c>
      <c r="AG26" s="636"/>
    </row>
    <row r="27" spans="1:33" ht="18.75" customHeight="1" x14ac:dyDescent="0.15">
      <c r="A27" s="986"/>
      <c r="B27" s="569">
        <f>B26/B$14</f>
        <v>0.29657794676806082</v>
      </c>
      <c r="C27" s="569">
        <f t="shared" ref="C27:J27" si="9">C26/C$14</f>
        <v>0.40740740740740738</v>
      </c>
      <c r="D27" s="569">
        <f t="shared" si="9"/>
        <v>0.2908496732026144</v>
      </c>
      <c r="E27" s="569">
        <f t="shared" si="9"/>
        <v>0.28506787330316741</v>
      </c>
      <c r="F27" s="569">
        <f t="shared" si="9"/>
        <v>0.34146341463414637</v>
      </c>
      <c r="G27" s="569">
        <f t="shared" si="9"/>
        <v>0.32</v>
      </c>
      <c r="H27" s="569">
        <f t="shared" si="9"/>
        <v>9.0909090909090912E-2</v>
      </c>
      <c r="I27" s="569">
        <f t="shared" si="9"/>
        <v>0.28169014084507044</v>
      </c>
      <c r="J27" s="569">
        <f t="shared" si="9"/>
        <v>0.31164570803717878</v>
      </c>
      <c r="M27" s="635" t="s">
        <v>167</v>
      </c>
      <c r="N27" s="636">
        <v>46</v>
      </c>
      <c r="O27" s="636">
        <v>25</v>
      </c>
      <c r="P27" s="636">
        <v>20</v>
      </c>
      <c r="Q27" s="636">
        <v>15</v>
      </c>
      <c r="R27" s="636">
        <v>77</v>
      </c>
      <c r="S27" s="636">
        <v>73</v>
      </c>
      <c r="T27" s="636">
        <v>8</v>
      </c>
      <c r="U27" s="636">
        <v>7</v>
      </c>
      <c r="V27" s="636">
        <v>6</v>
      </c>
      <c r="W27" s="636">
        <v>50</v>
      </c>
      <c r="X27" s="636">
        <v>43</v>
      </c>
      <c r="Y27" s="636">
        <v>3</v>
      </c>
      <c r="Z27" s="636">
        <v>16</v>
      </c>
      <c r="AA27" s="636">
        <v>63</v>
      </c>
      <c r="AB27" s="636">
        <v>45</v>
      </c>
      <c r="AC27" s="636">
        <v>69</v>
      </c>
      <c r="AD27" s="636">
        <v>17</v>
      </c>
      <c r="AE27" s="636">
        <v>1</v>
      </c>
      <c r="AF27" s="636">
        <v>93</v>
      </c>
      <c r="AG27" s="636"/>
    </row>
    <row r="28" spans="1:33" ht="18.75" customHeight="1" x14ac:dyDescent="0.15">
      <c r="A28" s="985" t="s">
        <v>453</v>
      </c>
      <c r="B28" s="546">
        <f>SUM(N26:P26)</f>
        <v>13</v>
      </c>
      <c r="C28" s="546">
        <f>SUM(Q26:R26)</f>
        <v>4</v>
      </c>
      <c r="D28" s="546">
        <f>SUM(S26:V26)</f>
        <v>22</v>
      </c>
      <c r="E28" s="546">
        <f>SUM(W26:Y26)</f>
        <v>6</v>
      </c>
      <c r="F28" s="546">
        <f>SUM(Z26:AA26)</f>
        <v>14</v>
      </c>
      <c r="G28" s="546">
        <f>SUM(AB26:AD26)</f>
        <v>14</v>
      </c>
      <c r="H28" s="546">
        <f>AE26</f>
        <v>0</v>
      </c>
      <c r="I28" s="546">
        <f>AF26</f>
        <v>18</v>
      </c>
      <c r="J28" s="547">
        <f t="shared" ref="J28" si="10">SUM(B28:I28)</f>
        <v>91</v>
      </c>
      <c r="M28" s="635" t="s">
        <v>168</v>
      </c>
      <c r="N28" s="636">
        <v>64</v>
      </c>
      <c r="O28" s="636">
        <v>31</v>
      </c>
      <c r="P28" s="636">
        <v>9</v>
      </c>
      <c r="Q28" s="636">
        <v>16</v>
      </c>
      <c r="R28" s="636">
        <v>100</v>
      </c>
      <c r="S28" s="636">
        <v>94</v>
      </c>
      <c r="T28" s="636">
        <v>20</v>
      </c>
      <c r="U28" s="636">
        <v>15</v>
      </c>
      <c r="V28" s="636">
        <v>5</v>
      </c>
      <c r="W28" s="636">
        <v>48</v>
      </c>
      <c r="X28" s="636">
        <v>51</v>
      </c>
      <c r="Y28" s="636">
        <v>3</v>
      </c>
      <c r="Z28" s="636">
        <v>51</v>
      </c>
      <c r="AA28" s="636">
        <v>64</v>
      </c>
      <c r="AB28" s="636">
        <v>53</v>
      </c>
      <c r="AC28" s="636">
        <v>49</v>
      </c>
      <c r="AD28" s="636">
        <v>30</v>
      </c>
      <c r="AE28" s="636">
        <v>1</v>
      </c>
      <c r="AF28" s="636">
        <v>102</v>
      </c>
      <c r="AG28" s="636"/>
    </row>
    <row r="29" spans="1:33" ht="18.75" customHeight="1" x14ac:dyDescent="0.15">
      <c r="A29" s="986"/>
      <c r="B29" s="569">
        <f>B28/B$14</f>
        <v>4.9429657794676805E-2</v>
      </c>
      <c r="C29" s="569">
        <f t="shared" ref="C29:J29" si="11">C28/C$14</f>
        <v>2.1164021164021163E-2</v>
      </c>
      <c r="D29" s="569">
        <f t="shared" si="11"/>
        <v>7.1895424836601302E-2</v>
      </c>
      <c r="E29" s="569">
        <f>E28/E$14</f>
        <v>2.7149321266968326E-2</v>
      </c>
      <c r="F29" s="569">
        <f t="shared" si="11"/>
        <v>6.8292682926829273E-2</v>
      </c>
      <c r="G29" s="569">
        <f t="shared" si="11"/>
        <v>0.04</v>
      </c>
      <c r="H29" s="569">
        <f t="shared" si="11"/>
        <v>0</v>
      </c>
      <c r="I29" s="569">
        <f t="shared" si="11"/>
        <v>6.3380281690140844E-2</v>
      </c>
      <c r="J29" s="569">
        <f t="shared" si="11"/>
        <v>4.9753963914707489E-2</v>
      </c>
      <c r="M29" s="635" t="s">
        <v>169</v>
      </c>
      <c r="N29" s="636">
        <v>25</v>
      </c>
      <c r="O29" s="636">
        <v>14</v>
      </c>
      <c r="P29" s="636">
        <v>3</v>
      </c>
      <c r="Q29" s="636">
        <v>7</v>
      </c>
      <c r="R29" s="636">
        <v>51</v>
      </c>
      <c r="S29" s="636">
        <v>43</v>
      </c>
      <c r="T29" s="636">
        <v>10</v>
      </c>
      <c r="U29" s="636">
        <v>5</v>
      </c>
      <c r="V29" s="636">
        <v>1</v>
      </c>
      <c r="W29" s="636">
        <v>42</v>
      </c>
      <c r="X29" s="636">
        <v>38</v>
      </c>
      <c r="Y29" s="636">
        <v>3</v>
      </c>
      <c r="Z29" s="636">
        <v>18</v>
      </c>
      <c r="AA29" s="636">
        <v>59</v>
      </c>
      <c r="AB29" s="636">
        <v>40</v>
      </c>
      <c r="AC29" s="636">
        <v>53</v>
      </c>
      <c r="AD29" s="636">
        <v>23</v>
      </c>
      <c r="AE29" s="636">
        <v>2</v>
      </c>
      <c r="AF29" s="636">
        <v>72</v>
      </c>
      <c r="AG29" s="636"/>
    </row>
    <row r="30" spans="1:33" ht="18.75" customHeight="1" x14ac:dyDescent="0.15">
      <c r="A30" s="985" t="s">
        <v>454</v>
      </c>
      <c r="B30" s="546">
        <f>SUM(N27:P27)</f>
        <v>91</v>
      </c>
      <c r="C30" s="546">
        <f>SUM(Q27:R27)</f>
        <v>92</v>
      </c>
      <c r="D30" s="546">
        <f>SUM(S27:V27)</f>
        <v>94</v>
      </c>
      <c r="E30" s="546">
        <f>SUM(W27:Y27)</f>
        <v>96</v>
      </c>
      <c r="F30" s="546">
        <f>SUM(Z27:AA27)</f>
        <v>79</v>
      </c>
      <c r="G30" s="546">
        <f>SUM(AB27:AD27)</f>
        <v>131</v>
      </c>
      <c r="H30" s="546">
        <f>AE27</f>
        <v>1</v>
      </c>
      <c r="I30" s="546">
        <f>AF27</f>
        <v>93</v>
      </c>
      <c r="J30" s="547">
        <f t="shared" ref="J30" si="12">SUM(B30:I30)</f>
        <v>677</v>
      </c>
      <c r="M30" s="635" t="s">
        <v>170</v>
      </c>
      <c r="N30" s="636">
        <v>10</v>
      </c>
      <c r="O30" s="636">
        <v>14</v>
      </c>
      <c r="P30" s="636">
        <v>1</v>
      </c>
      <c r="Q30" s="636">
        <v>2</v>
      </c>
      <c r="R30" s="636">
        <v>16</v>
      </c>
      <c r="S30" s="636">
        <v>17</v>
      </c>
      <c r="T30" s="636">
        <v>1</v>
      </c>
      <c r="U30" s="636">
        <v>3</v>
      </c>
      <c r="V30" s="636">
        <v>1</v>
      </c>
      <c r="W30" s="636">
        <v>13</v>
      </c>
      <c r="X30" s="636">
        <v>4</v>
      </c>
      <c r="Y30" s="636">
        <v>5</v>
      </c>
      <c r="Z30" s="636">
        <v>9</v>
      </c>
      <c r="AA30" s="636">
        <v>20</v>
      </c>
      <c r="AB30" s="636">
        <v>15</v>
      </c>
      <c r="AC30" s="636">
        <v>15</v>
      </c>
      <c r="AD30" s="636">
        <v>2</v>
      </c>
      <c r="AE30" s="636">
        <v>0</v>
      </c>
      <c r="AF30" s="636">
        <v>16</v>
      </c>
      <c r="AG30" s="636"/>
    </row>
    <row r="31" spans="1:33" ht="18.75" customHeight="1" x14ac:dyDescent="0.15">
      <c r="A31" s="986"/>
      <c r="B31" s="569">
        <f>B30/B$14</f>
        <v>0.34600760456273766</v>
      </c>
      <c r="C31" s="569">
        <f t="shared" ref="C31:J31" si="13">C30/C$14</f>
        <v>0.48677248677248675</v>
      </c>
      <c r="D31" s="569">
        <f t="shared" si="13"/>
        <v>0.30718954248366015</v>
      </c>
      <c r="E31" s="569">
        <f>E30/E$14</f>
        <v>0.43438914027149322</v>
      </c>
      <c r="F31" s="569">
        <f t="shared" si="13"/>
        <v>0.38536585365853659</v>
      </c>
      <c r="G31" s="569">
        <f t="shared" si="13"/>
        <v>0.37428571428571428</v>
      </c>
      <c r="H31" s="569">
        <f t="shared" si="13"/>
        <v>9.0909090909090912E-2</v>
      </c>
      <c r="I31" s="569">
        <f t="shared" si="13"/>
        <v>0.32746478873239437</v>
      </c>
      <c r="J31" s="569">
        <f t="shared" si="13"/>
        <v>0.37014762165117548</v>
      </c>
      <c r="M31" s="635" t="s">
        <v>171</v>
      </c>
      <c r="N31" s="636">
        <v>32</v>
      </c>
      <c r="O31" s="636">
        <v>32</v>
      </c>
      <c r="P31" s="636">
        <v>1</v>
      </c>
      <c r="Q31" s="636">
        <v>12</v>
      </c>
      <c r="R31" s="636">
        <v>69</v>
      </c>
      <c r="S31" s="636">
        <v>66</v>
      </c>
      <c r="T31" s="636">
        <v>22</v>
      </c>
      <c r="U31" s="636">
        <v>21</v>
      </c>
      <c r="V31" s="636">
        <v>5</v>
      </c>
      <c r="W31" s="636">
        <v>36</v>
      </c>
      <c r="X31" s="636">
        <v>54</v>
      </c>
      <c r="Y31" s="636">
        <v>2</v>
      </c>
      <c r="Z31" s="636">
        <v>19</v>
      </c>
      <c r="AA31" s="636">
        <v>74</v>
      </c>
      <c r="AB31" s="636">
        <v>38</v>
      </c>
      <c r="AC31" s="636">
        <v>71</v>
      </c>
      <c r="AD31" s="636">
        <v>17</v>
      </c>
      <c r="AE31" s="636">
        <v>1</v>
      </c>
      <c r="AF31" s="636">
        <v>72</v>
      </c>
      <c r="AG31" s="636"/>
    </row>
    <row r="32" spans="1:33" ht="18.75" customHeight="1" x14ac:dyDescent="0.15">
      <c r="A32" s="985" t="s">
        <v>455</v>
      </c>
      <c r="B32" s="546">
        <f>SUM(N28:P28)</f>
        <v>104</v>
      </c>
      <c r="C32" s="546">
        <f>SUM(Q28:R28)</f>
        <v>116</v>
      </c>
      <c r="D32" s="546">
        <f>SUM(S28:V28)</f>
        <v>134</v>
      </c>
      <c r="E32" s="546">
        <f>SUM(W28:Y28)</f>
        <v>102</v>
      </c>
      <c r="F32" s="546">
        <f>SUM(Z28:AA28)</f>
        <v>115</v>
      </c>
      <c r="G32" s="546">
        <f>SUM(AB28:AD28)</f>
        <v>132</v>
      </c>
      <c r="H32" s="546">
        <f>AE28</f>
        <v>1</v>
      </c>
      <c r="I32" s="546">
        <f>AF28</f>
        <v>102</v>
      </c>
      <c r="J32" s="547">
        <f t="shared" ref="J32" si="14">SUM(B32:I32)</f>
        <v>806</v>
      </c>
      <c r="M32" s="635" t="s">
        <v>172</v>
      </c>
      <c r="N32" s="636">
        <v>14</v>
      </c>
      <c r="O32" s="636">
        <v>25</v>
      </c>
      <c r="P32" s="636">
        <v>8</v>
      </c>
      <c r="Q32" s="636">
        <v>7</v>
      </c>
      <c r="R32" s="636">
        <v>32</v>
      </c>
      <c r="S32" s="636">
        <v>32</v>
      </c>
      <c r="T32" s="636">
        <v>10</v>
      </c>
      <c r="U32" s="636">
        <v>13</v>
      </c>
      <c r="V32" s="636">
        <v>7</v>
      </c>
      <c r="W32" s="636">
        <v>12</v>
      </c>
      <c r="X32" s="636">
        <v>19</v>
      </c>
      <c r="Y32" s="636">
        <v>1</v>
      </c>
      <c r="Z32" s="636">
        <v>6</v>
      </c>
      <c r="AA32" s="636">
        <v>15</v>
      </c>
      <c r="AB32" s="636">
        <v>26</v>
      </c>
      <c r="AC32" s="636">
        <v>18</v>
      </c>
      <c r="AD32" s="636">
        <v>13</v>
      </c>
      <c r="AE32" s="636">
        <v>1</v>
      </c>
      <c r="AF32" s="636">
        <v>36</v>
      </c>
      <c r="AG32" s="636"/>
    </row>
    <row r="33" spans="1:33" ht="18.75" customHeight="1" x14ac:dyDescent="0.15">
      <c r="A33" s="986"/>
      <c r="B33" s="569">
        <f>B32/B$14</f>
        <v>0.39543726235741444</v>
      </c>
      <c r="C33" s="569">
        <f t="shared" ref="C33:J33" si="15">C32/C$14</f>
        <v>0.61375661375661372</v>
      </c>
      <c r="D33" s="569">
        <f t="shared" si="15"/>
        <v>0.43790849673202614</v>
      </c>
      <c r="E33" s="569">
        <f t="shared" si="15"/>
        <v>0.46153846153846156</v>
      </c>
      <c r="F33" s="569">
        <f t="shared" si="15"/>
        <v>0.56097560975609762</v>
      </c>
      <c r="G33" s="569">
        <f t="shared" si="15"/>
        <v>0.37714285714285717</v>
      </c>
      <c r="H33" s="569">
        <f t="shared" si="15"/>
        <v>9.0909090909090912E-2</v>
      </c>
      <c r="I33" s="569">
        <f t="shared" si="15"/>
        <v>0.35915492957746481</v>
      </c>
      <c r="J33" s="569">
        <f t="shared" si="15"/>
        <v>0.44067796610169491</v>
      </c>
      <c r="M33" s="635" t="s">
        <v>173</v>
      </c>
      <c r="N33" s="636">
        <v>21</v>
      </c>
      <c r="O33" s="636">
        <v>18</v>
      </c>
      <c r="P33" s="636">
        <v>13</v>
      </c>
      <c r="Q33" s="636">
        <v>3</v>
      </c>
      <c r="R33" s="636">
        <v>21</v>
      </c>
      <c r="S33" s="636">
        <v>44</v>
      </c>
      <c r="T33" s="636">
        <v>6</v>
      </c>
      <c r="U33" s="636">
        <v>3</v>
      </c>
      <c r="V33" s="636">
        <v>2</v>
      </c>
      <c r="W33" s="636">
        <v>28</v>
      </c>
      <c r="X33" s="636">
        <v>14</v>
      </c>
      <c r="Y33" s="636">
        <v>3</v>
      </c>
      <c r="Z33" s="636">
        <v>10</v>
      </c>
      <c r="AA33" s="636">
        <v>28</v>
      </c>
      <c r="AB33" s="636">
        <v>43</v>
      </c>
      <c r="AC33" s="636">
        <v>27</v>
      </c>
      <c r="AD33" s="636">
        <v>14</v>
      </c>
      <c r="AE33" s="636">
        <v>1</v>
      </c>
      <c r="AF33" s="636">
        <v>43</v>
      </c>
      <c r="AG33" s="636"/>
    </row>
    <row r="34" spans="1:33" ht="18.75" customHeight="1" x14ac:dyDescent="0.15">
      <c r="A34" s="985" t="s">
        <v>333</v>
      </c>
      <c r="B34" s="546">
        <f>SUM(N29:P29)</f>
        <v>42</v>
      </c>
      <c r="C34" s="546">
        <f>SUM(Q29:R29)</f>
        <v>58</v>
      </c>
      <c r="D34" s="546">
        <f>SUM(S29:V29)</f>
        <v>59</v>
      </c>
      <c r="E34" s="546">
        <f>SUM(W29:Y29)</f>
        <v>83</v>
      </c>
      <c r="F34" s="546">
        <f>SUM(Z29:AA29)</f>
        <v>77</v>
      </c>
      <c r="G34" s="546">
        <f>SUM(AB29:AD29)</f>
        <v>116</v>
      </c>
      <c r="H34" s="546">
        <f>AE29</f>
        <v>2</v>
      </c>
      <c r="I34" s="546">
        <f>AF29</f>
        <v>72</v>
      </c>
      <c r="J34" s="547">
        <f t="shared" ref="J34" si="16">SUM(B34:I34)</f>
        <v>509</v>
      </c>
      <c r="M34" s="635" t="s">
        <v>174</v>
      </c>
      <c r="N34" s="636">
        <v>13</v>
      </c>
      <c r="O34" s="636">
        <v>63</v>
      </c>
      <c r="P34" s="636">
        <v>7</v>
      </c>
      <c r="Q34" s="636">
        <v>13</v>
      </c>
      <c r="R34" s="636">
        <v>77</v>
      </c>
      <c r="S34" s="636">
        <v>94</v>
      </c>
      <c r="T34" s="636">
        <v>33</v>
      </c>
      <c r="U34" s="636">
        <v>16</v>
      </c>
      <c r="V34" s="636">
        <v>7</v>
      </c>
      <c r="W34" s="636">
        <v>25</v>
      </c>
      <c r="X34" s="636">
        <v>41</v>
      </c>
      <c r="Y34" s="636">
        <v>6</v>
      </c>
      <c r="Z34" s="636">
        <v>10</v>
      </c>
      <c r="AA34" s="636">
        <v>13</v>
      </c>
      <c r="AB34" s="636">
        <v>63</v>
      </c>
      <c r="AC34" s="636">
        <v>35</v>
      </c>
      <c r="AD34" s="636">
        <v>19</v>
      </c>
      <c r="AE34" s="636">
        <v>3</v>
      </c>
      <c r="AF34" s="636">
        <v>67</v>
      </c>
      <c r="AG34" s="636"/>
    </row>
    <row r="35" spans="1:33" ht="18.75" customHeight="1" x14ac:dyDescent="0.15">
      <c r="A35" s="986"/>
      <c r="B35" s="569">
        <f>B34/B$14</f>
        <v>0.1596958174904943</v>
      </c>
      <c r="C35" s="569">
        <f t="shared" ref="C35:J35" si="17">C34/C$14</f>
        <v>0.30687830687830686</v>
      </c>
      <c r="D35" s="569">
        <f t="shared" si="17"/>
        <v>0.19281045751633988</v>
      </c>
      <c r="E35" s="569">
        <f t="shared" si="17"/>
        <v>0.3755656108597285</v>
      </c>
      <c r="F35" s="569">
        <f t="shared" si="17"/>
        <v>0.37560975609756098</v>
      </c>
      <c r="G35" s="569">
        <f t="shared" si="17"/>
        <v>0.33142857142857141</v>
      </c>
      <c r="H35" s="569">
        <f t="shared" si="17"/>
        <v>0.18181818181818182</v>
      </c>
      <c r="I35" s="569">
        <f t="shared" si="17"/>
        <v>0.25352112676056338</v>
      </c>
      <c r="J35" s="569">
        <f t="shared" si="17"/>
        <v>0.27829414980863859</v>
      </c>
      <c r="M35" s="635" t="s">
        <v>175</v>
      </c>
      <c r="N35" s="636">
        <v>1</v>
      </c>
      <c r="O35" s="636">
        <v>10</v>
      </c>
      <c r="P35" s="636">
        <v>0</v>
      </c>
      <c r="Q35" s="636">
        <v>2</v>
      </c>
      <c r="R35" s="636">
        <v>23</v>
      </c>
      <c r="S35" s="636">
        <v>14</v>
      </c>
      <c r="T35" s="636">
        <v>4</v>
      </c>
      <c r="U35" s="636">
        <v>1</v>
      </c>
      <c r="V35" s="636">
        <v>3</v>
      </c>
      <c r="W35" s="636">
        <v>6</v>
      </c>
      <c r="X35" s="636">
        <v>4</v>
      </c>
      <c r="Y35" s="636">
        <v>1</v>
      </c>
      <c r="Z35" s="636">
        <v>0</v>
      </c>
      <c r="AA35" s="636">
        <v>0</v>
      </c>
      <c r="AB35" s="636">
        <v>18</v>
      </c>
      <c r="AC35" s="636">
        <v>14</v>
      </c>
      <c r="AD35" s="636">
        <v>7</v>
      </c>
      <c r="AE35" s="636">
        <v>0</v>
      </c>
      <c r="AF35" s="636">
        <v>13</v>
      </c>
      <c r="AG35" s="636"/>
    </row>
    <row r="36" spans="1:33" ht="18.75" customHeight="1" x14ac:dyDescent="0.15">
      <c r="A36" s="985" t="s">
        <v>456</v>
      </c>
      <c r="B36" s="546">
        <f>SUM(N30:P30)</f>
        <v>25</v>
      </c>
      <c r="C36" s="546">
        <f>SUM(Q30:R30)</f>
        <v>18</v>
      </c>
      <c r="D36" s="546">
        <f>SUM(S30:V30)</f>
        <v>22</v>
      </c>
      <c r="E36" s="546">
        <f>SUM(W30:Y30)</f>
        <v>22</v>
      </c>
      <c r="F36" s="546">
        <f>SUM(Z30:AA30)</f>
        <v>29</v>
      </c>
      <c r="G36" s="546">
        <f>SUM(AB30:AD30)</f>
        <v>32</v>
      </c>
      <c r="H36" s="546">
        <f>AE30</f>
        <v>0</v>
      </c>
      <c r="I36" s="546">
        <f>AF30</f>
        <v>16</v>
      </c>
      <c r="J36" s="547">
        <f t="shared" ref="J36" si="18">SUM(B36:I36)</f>
        <v>164</v>
      </c>
      <c r="M36" s="635" t="s">
        <v>176</v>
      </c>
      <c r="N36" s="636">
        <v>12</v>
      </c>
      <c r="O36" s="636">
        <v>7</v>
      </c>
      <c r="P36" s="636">
        <v>1</v>
      </c>
      <c r="Q36" s="636">
        <v>1</v>
      </c>
      <c r="R36" s="636">
        <v>5</v>
      </c>
      <c r="S36" s="636">
        <v>5</v>
      </c>
      <c r="T36" s="636">
        <v>0</v>
      </c>
      <c r="U36" s="636">
        <v>1</v>
      </c>
      <c r="V36" s="636">
        <v>1</v>
      </c>
      <c r="W36" s="636">
        <v>5</v>
      </c>
      <c r="X36" s="636">
        <v>3</v>
      </c>
      <c r="Y36" s="636">
        <v>0</v>
      </c>
      <c r="Z36" s="636">
        <v>1</v>
      </c>
      <c r="AA36" s="636">
        <v>0</v>
      </c>
      <c r="AB36" s="636">
        <v>18</v>
      </c>
      <c r="AC36" s="636">
        <v>7</v>
      </c>
      <c r="AD36" s="636">
        <v>1</v>
      </c>
      <c r="AE36" s="636">
        <v>0</v>
      </c>
      <c r="AF36" s="636">
        <v>2</v>
      </c>
      <c r="AG36" s="636"/>
    </row>
    <row r="37" spans="1:33" ht="18.75" customHeight="1" x14ac:dyDescent="0.15">
      <c r="A37" s="986"/>
      <c r="B37" s="569">
        <f>B36/B$14</f>
        <v>9.5057034220532313E-2</v>
      </c>
      <c r="C37" s="569">
        <f t="shared" ref="C37:J37" si="19">C36/C$14</f>
        <v>9.5238095238095233E-2</v>
      </c>
      <c r="D37" s="569">
        <f t="shared" si="19"/>
        <v>7.1895424836601302E-2</v>
      </c>
      <c r="E37" s="569">
        <f t="shared" si="19"/>
        <v>9.9547511312217188E-2</v>
      </c>
      <c r="F37" s="569">
        <f t="shared" si="19"/>
        <v>0.14146341463414633</v>
      </c>
      <c r="G37" s="569">
        <f t="shared" si="19"/>
        <v>9.1428571428571428E-2</v>
      </c>
      <c r="H37" s="569">
        <f t="shared" si="19"/>
        <v>0</v>
      </c>
      <c r="I37" s="569">
        <f t="shared" si="19"/>
        <v>5.6338028169014086E-2</v>
      </c>
      <c r="J37" s="569">
        <f t="shared" si="19"/>
        <v>8.9666484417714604E-2</v>
      </c>
      <c r="M37" s="635" t="s">
        <v>177</v>
      </c>
      <c r="N37" s="636">
        <v>0</v>
      </c>
      <c r="O37" s="636">
        <v>0</v>
      </c>
      <c r="P37" s="636">
        <v>0</v>
      </c>
      <c r="Q37" s="636">
        <v>0</v>
      </c>
      <c r="R37" s="636">
        <v>0</v>
      </c>
      <c r="S37" s="636">
        <v>5</v>
      </c>
      <c r="T37" s="636">
        <v>1</v>
      </c>
      <c r="U37" s="636">
        <v>0</v>
      </c>
      <c r="V37" s="636">
        <v>0</v>
      </c>
      <c r="W37" s="636">
        <v>0</v>
      </c>
      <c r="X37" s="636">
        <v>0</v>
      </c>
      <c r="Y37" s="636">
        <v>0</v>
      </c>
      <c r="Z37" s="636">
        <v>0</v>
      </c>
      <c r="AA37" s="636">
        <v>0</v>
      </c>
      <c r="AB37" s="636">
        <v>0</v>
      </c>
      <c r="AC37" s="636">
        <v>0</v>
      </c>
      <c r="AD37" s="636">
        <v>0</v>
      </c>
      <c r="AE37" s="636">
        <v>0</v>
      </c>
      <c r="AF37" s="636">
        <v>0</v>
      </c>
      <c r="AG37" s="636"/>
    </row>
    <row r="38" spans="1:33" ht="18.75" customHeight="1" x14ac:dyDescent="0.15">
      <c r="A38" s="985" t="s">
        <v>334</v>
      </c>
      <c r="B38" s="546">
        <f>SUM(N31:P31)</f>
        <v>65</v>
      </c>
      <c r="C38" s="546">
        <f>SUM(Q31:R31)</f>
        <v>81</v>
      </c>
      <c r="D38" s="546">
        <f>SUM(S31:V31)</f>
        <v>114</v>
      </c>
      <c r="E38" s="546">
        <f>SUM(W31:Y31)</f>
        <v>92</v>
      </c>
      <c r="F38" s="546">
        <f>SUM(Z31:AA31)</f>
        <v>93</v>
      </c>
      <c r="G38" s="546">
        <f>SUM(AB31:AD31)</f>
        <v>126</v>
      </c>
      <c r="H38" s="546">
        <f>AE31</f>
        <v>1</v>
      </c>
      <c r="I38" s="546">
        <f>AF31</f>
        <v>72</v>
      </c>
      <c r="J38" s="547">
        <f t="shared" ref="J38" si="20">SUM(B38:I38)</f>
        <v>644</v>
      </c>
      <c r="M38" s="635" t="s">
        <v>178</v>
      </c>
      <c r="N38" s="636">
        <v>12</v>
      </c>
      <c r="O38" s="636">
        <v>7</v>
      </c>
      <c r="P38" s="636">
        <v>1</v>
      </c>
      <c r="Q38" s="636">
        <v>2</v>
      </c>
      <c r="R38" s="636">
        <v>7</v>
      </c>
      <c r="S38" s="636">
        <v>26</v>
      </c>
      <c r="T38" s="636">
        <v>4</v>
      </c>
      <c r="U38" s="636">
        <v>4</v>
      </c>
      <c r="V38" s="636">
        <v>0</v>
      </c>
      <c r="W38" s="636">
        <v>16</v>
      </c>
      <c r="X38" s="636">
        <v>11</v>
      </c>
      <c r="Y38" s="636">
        <v>0</v>
      </c>
      <c r="Z38" s="636">
        <v>0</v>
      </c>
      <c r="AA38" s="636">
        <v>1</v>
      </c>
      <c r="AB38" s="636">
        <v>17</v>
      </c>
      <c r="AC38" s="636">
        <v>26</v>
      </c>
      <c r="AD38" s="636">
        <v>4</v>
      </c>
      <c r="AE38" s="636">
        <v>1</v>
      </c>
      <c r="AF38" s="636">
        <v>10</v>
      </c>
      <c r="AG38" s="636"/>
    </row>
    <row r="39" spans="1:33" ht="18.75" customHeight="1" x14ac:dyDescent="0.15">
      <c r="A39" s="986"/>
      <c r="B39" s="569">
        <f>B38/B$14</f>
        <v>0.24714828897338403</v>
      </c>
      <c r="C39" s="569">
        <f t="shared" ref="C39:J39" si="21">C38/C$14</f>
        <v>0.42857142857142855</v>
      </c>
      <c r="D39" s="569">
        <f t="shared" si="21"/>
        <v>0.37254901960784315</v>
      </c>
      <c r="E39" s="569">
        <f>E38/E$14</f>
        <v>0.41628959276018102</v>
      </c>
      <c r="F39" s="569">
        <f t="shared" si="21"/>
        <v>0.45365853658536587</v>
      </c>
      <c r="G39" s="569">
        <f t="shared" si="21"/>
        <v>0.36</v>
      </c>
      <c r="H39" s="569">
        <f t="shared" si="21"/>
        <v>9.0909090909090912E-2</v>
      </c>
      <c r="I39" s="569">
        <f t="shared" si="21"/>
        <v>0.25352112676056338</v>
      </c>
      <c r="J39" s="569">
        <f t="shared" si="21"/>
        <v>0.35210497539639146</v>
      </c>
      <c r="M39" s="635" t="s">
        <v>179</v>
      </c>
      <c r="N39" s="636">
        <v>11</v>
      </c>
      <c r="O39" s="636">
        <v>5</v>
      </c>
      <c r="P39" s="636">
        <v>1</v>
      </c>
      <c r="Q39" s="636">
        <v>1</v>
      </c>
      <c r="R39" s="636">
        <v>2</v>
      </c>
      <c r="S39" s="636">
        <v>23</v>
      </c>
      <c r="T39" s="636">
        <v>1</v>
      </c>
      <c r="U39" s="636">
        <v>0</v>
      </c>
      <c r="V39" s="636">
        <v>0</v>
      </c>
      <c r="W39" s="636">
        <v>10</v>
      </c>
      <c r="X39" s="636">
        <v>18</v>
      </c>
      <c r="Y39" s="636">
        <v>0</v>
      </c>
      <c r="Z39" s="636">
        <v>0</v>
      </c>
      <c r="AA39" s="636">
        <v>1</v>
      </c>
      <c r="AB39" s="636">
        <v>17</v>
      </c>
      <c r="AC39" s="636">
        <v>26</v>
      </c>
      <c r="AD39" s="636">
        <v>6</v>
      </c>
      <c r="AE39" s="636">
        <v>0</v>
      </c>
      <c r="AF39" s="636">
        <v>9</v>
      </c>
      <c r="AG39" s="636"/>
    </row>
    <row r="40" spans="1:33" ht="18.75" customHeight="1" x14ac:dyDescent="0.15">
      <c r="A40" s="985" t="s">
        <v>335</v>
      </c>
      <c r="B40" s="546">
        <f>SUM(N32:P32)</f>
        <v>47</v>
      </c>
      <c r="C40" s="546">
        <f>SUM(Q32:R32)</f>
        <v>39</v>
      </c>
      <c r="D40" s="546">
        <f>SUM(S32:V32)</f>
        <v>62</v>
      </c>
      <c r="E40" s="546">
        <f>SUM(W32:Y32)</f>
        <v>32</v>
      </c>
      <c r="F40" s="546">
        <f>SUM(Z32:AA32)</f>
        <v>21</v>
      </c>
      <c r="G40" s="546">
        <f>SUM(AB32:AD32)</f>
        <v>57</v>
      </c>
      <c r="H40" s="546">
        <f>AE32</f>
        <v>1</v>
      </c>
      <c r="I40" s="546">
        <f>AF32</f>
        <v>36</v>
      </c>
      <c r="J40" s="547">
        <f t="shared" ref="J40" si="22">SUM(B40:I40)</f>
        <v>295</v>
      </c>
      <c r="M40" s="635" t="s">
        <v>180</v>
      </c>
      <c r="N40" s="636">
        <v>1</v>
      </c>
      <c r="O40" s="636">
        <v>0</v>
      </c>
      <c r="P40" s="636">
        <v>1</v>
      </c>
      <c r="Q40" s="636">
        <v>1</v>
      </c>
      <c r="R40" s="636">
        <v>1</v>
      </c>
      <c r="S40" s="636">
        <v>4</v>
      </c>
      <c r="T40" s="636">
        <v>1</v>
      </c>
      <c r="U40" s="636">
        <v>1</v>
      </c>
      <c r="V40" s="636">
        <v>0</v>
      </c>
      <c r="W40" s="636">
        <v>0</v>
      </c>
      <c r="X40" s="636">
        <v>1</v>
      </c>
      <c r="Y40" s="636">
        <v>0</v>
      </c>
      <c r="Z40" s="636">
        <v>0</v>
      </c>
      <c r="AA40" s="636">
        <v>1</v>
      </c>
      <c r="AB40" s="636">
        <v>8</v>
      </c>
      <c r="AC40" s="636">
        <v>4</v>
      </c>
      <c r="AD40" s="636">
        <v>3</v>
      </c>
      <c r="AE40" s="636">
        <v>0</v>
      </c>
      <c r="AF40" s="636">
        <v>1</v>
      </c>
      <c r="AG40" s="636"/>
    </row>
    <row r="41" spans="1:33" ht="18.75" customHeight="1" x14ac:dyDescent="0.15">
      <c r="A41" s="986"/>
      <c r="B41" s="569">
        <f>B40/B$14</f>
        <v>0.17870722433460076</v>
      </c>
      <c r="C41" s="569">
        <f t="shared" ref="C41:J41" si="23">C40/C$14</f>
        <v>0.20634920634920634</v>
      </c>
      <c r="D41" s="569">
        <f t="shared" si="23"/>
        <v>0.20261437908496732</v>
      </c>
      <c r="E41" s="569">
        <f t="shared" si="23"/>
        <v>0.14479638009049775</v>
      </c>
      <c r="F41" s="569">
        <f t="shared" si="23"/>
        <v>0.1024390243902439</v>
      </c>
      <c r="G41" s="569">
        <f t="shared" si="23"/>
        <v>0.16285714285714287</v>
      </c>
      <c r="H41" s="569">
        <f t="shared" si="23"/>
        <v>9.0909090909090912E-2</v>
      </c>
      <c r="I41" s="569">
        <f t="shared" si="23"/>
        <v>0.12676056338028169</v>
      </c>
      <c r="J41" s="569">
        <f t="shared" si="23"/>
        <v>0.16129032258064516</v>
      </c>
      <c r="M41" s="635" t="s">
        <v>383</v>
      </c>
      <c r="N41" s="636">
        <v>17</v>
      </c>
      <c r="O41" s="636">
        <v>18</v>
      </c>
      <c r="P41" s="636">
        <v>0</v>
      </c>
      <c r="Q41" s="636">
        <v>5</v>
      </c>
      <c r="R41" s="636">
        <v>4</v>
      </c>
      <c r="S41" s="636">
        <v>47</v>
      </c>
      <c r="T41" s="636">
        <v>2</v>
      </c>
      <c r="U41" s="636">
        <v>16</v>
      </c>
      <c r="V41" s="636">
        <v>2</v>
      </c>
      <c r="W41" s="636">
        <v>10</v>
      </c>
      <c r="X41" s="636">
        <v>9</v>
      </c>
      <c r="Y41" s="636">
        <v>1</v>
      </c>
      <c r="Z41" s="636">
        <v>5</v>
      </c>
      <c r="AA41" s="636">
        <v>26</v>
      </c>
      <c r="AB41" s="636">
        <v>33</v>
      </c>
      <c r="AC41" s="636">
        <v>25</v>
      </c>
      <c r="AD41" s="636">
        <v>9</v>
      </c>
      <c r="AE41" s="636">
        <v>0</v>
      </c>
      <c r="AF41" s="636">
        <v>66</v>
      </c>
      <c r="AG41" s="636"/>
    </row>
    <row r="42" spans="1:33" ht="18.75" customHeight="1" x14ac:dyDescent="0.15">
      <c r="A42" s="985" t="s">
        <v>246</v>
      </c>
      <c r="B42" s="546">
        <f>SUM(N33:P33)</f>
        <v>52</v>
      </c>
      <c r="C42" s="546">
        <f>SUM(Q33:R33)</f>
        <v>24</v>
      </c>
      <c r="D42" s="546">
        <f>SUM(S33:V33)</f>
        <v>55</v>
      </c>
      <c r="E42" s="546">
        <f>SUM(W33:Y33)</f>
        <v>45</v>
      </c>
      <c r="F42" s="546">
        <f>SUM(Z33:AA33)</f>
        <v>38</v>
      </c>
      <c r="G42" s="546">
        <f>SUM(AB33:AD33)</f>
        <v>84</v>
      </c>
      <c r="H42" s="546">
        <f>AE33</f>
        <v>1</v>
      </c>
      <c r="I42" s="546">
        <f>AF33</f>
        <v>43</v>
      </c>
      <c r="J42" s="547">
        <f t="shared" ref="J42" si="24">SUM(B42:I42)</f>
        <v>342</v>
      </c>
      <c r="M42" s="635" t="s">
        <v>384</v>
      </c>
      <c r="N42" s="635">
        <v>11</v>
      </c>
      <c r="O42" s="635">
        <v>11</v>
      </c>
      <c r="P42" s="635">
        <v>0</v>
      </c>
      <c r="Q42" s="635">
        <v>21</v>
      </c>
      <c r="R42" s="635">
        <v>1</v>
      </c>
      <c r="S42" s="635">
        <v>18</v>
      </c>
      <c r="T42" s="635">
        <v>2</v>
      </c>
      <c r="U42" s="635">
        <v>2</v>
      </c>
      <c r="V42" s="635">
        <v>0</v>
      </c>
      <c r="W42" s="635">
        <v>7</v>
      </c>
      <c r="X42" s="635">
        <v>2</v>
      </c>
      <c r="Y42" s="635">
        <v>0</v>
      </c>
      <c r="Z42" s="635">
        <v>1</v>
      </c>
      <c r="AA42" s="635">
        <v>7</v>
      </c>
      <c r="AB42" s="635">
        <v>13</v>
      </c>
      <c r="AC42" s="635">
        <v>9</v>
      </c>
      <c r="AD42" s="635">
        <v>5</v>
      </c>
      <c r="AE42" s="635">
        <v>1</v>
      </c>
      <c r="AF42" s="635">
        <v>62</v>
      </c>
      <c r="AG42" s="636"/>
    </row>
    <row r="43" spans="1:33" ht="18.75" customHeight="1" x14ac:dyDescent="0.15">
      <c r="A43" s="986"/>
      <c r="B43" s="569">
        <f>B42/B$14</f>
        <v>0.19771863117870722</v>
      </c>
      <c r="C43" s="569">
        <f t="shared" ref="C43:J43" si="25">C42/C$14</f>
        <v>0.12698412698412698</v>
      </c>
      <c r="D43" s="569">
        <f t="shared" si="25"/>
        <v>0.17973856209150327</v>
      </c>
      <c r="E43" s="569">
        <f>E42/E$14</f>
        <v>0.20361990950226244</v>
      </c>
      <c r="F43" s="569">
        <f t="shared" si="25"/>
        <v>0.18536585365853658</v>
      </c>
      <c r="G43" s="569">
        <f t="shared" si="25"/>
        <v>0.24</v>
      </c>
      <c r="H43" s="569">
        <f t="shared" si="25"/>
        <v>9.0909090909090912E-2</v>
      </c>
      <c r="I43" s="569">
        <f t="shared" si="25"/>
        <v>0.15140845070422534</v>
      </c>
      <c r="J43" s="569">
        <f t="shared" si="25"/>
        <v>0.18698742482230726</v>
      </c>
      <c r="M43" s="635" t="s">
        <v>181</v>
      </c>
      <c r="N43" s="635">
        <v>0</v>
      </c>
      <c r="O43" s="635">
        <v>2</v>
      </c>
      <c r="P43" s="635">
        <v>1</v>
      </c>
      <c r="Q43" s="635">
        <v>2</v>
      </c>
      <c r="R43" s="635">
        <v>1</v>
      </c>
      <c r="S43" s="635">
        <v>1</v>
      </c>
      <c r="T43" s="635">
        <v>3</v>
      </c>
      <c r="U43" s="635">
        <v>0</v>
      </c>
      <c r="V43" s="635">
        <v>0</v>
      </c>
      <c r="W43" s="635">
        <v>17</v>
      </c>
      <c r="X43" s="635">
        <v>1</v>
      </c>
      <c r="Y43" s="635">
        <v>0</v>
      </c>
      <c r="Z43" s="635">
        <v>0</v>
      </c>
      <c r="AA43" s="635">
        <v>0</v>
      </c>
      <c r="AB43" s="635">
        <v>4</v>
      </c>
      <c r="AC43" s="635">
        <v>12</v>
      </c>
      <c r="AD43" s="635">
        <v>0</v>
      </c>
      <c r="AE43" s="635">
        <v>0</v>
      </c>
      <c r="AF43" s="635">
        <v>6</v>
      </c>
      <c r="AG43" s="636"/>
    </row>
    <row r="44" spans="1:33" ht="18.75" customHeight="1" x14ac:dyDescent="0.15">
      <c r="A44" s="985" t="s">
        <v>457</v>
      </c>
      <c r="B44" s="546">
        <f>SUM(N34:P34)</f>
        <v>83</v>
      </c>
      <c r="C44" s="546">
        <f>SUM(Q34:R34)</f>
        <v>90</v>
      </c>
      <c r="D44" s="546">
        <f>SUM(S34:V34)</f>
        <v>150</v>
      </c>
      <c r="E44" s="546">
        <f>SUM(W34:Y34)</f>
        <v>72</v>
      </c>
      <c r="F44" s="546">
        <f>SUM(Z34:AA34)</f>
        <v>23</v>
      </c>
      <c r="G44" s="546">
        <f>SUM(AB34:AD34)</f>
        <v>117</v>
      </c>
      <c r="H44" s="546">
        <f>AE34</f>
        <v>3</v>
      </c>
      <c r="I44" s="546">
        <f>AF34</f>
        <v>67</v>
      </c>
      <c r="J44" s="547">
        <f t="shared" ref="J44" si="26">SUM(B44:I44)</f>
        <v>605</v>
      </c>
    </row>
    <row r="45" spans="1:33" ht="18.75" customHeight="1" x14ac:dyDescent="0.15">
      <c r="A45" s="986"/>
      <c r="B45" s="569">
        <f>B44/B$14</f>
        <v>0.31558935361216728</v>
      </c>
      <c r="C45" s="569">
        <f t="shared" ref="C45:J45" si="27">C44/C$14</f>
        <v>0.47619047619047616</v>
      </c>
      <c r="D45" s="569">
        <f t="shared" si="27"/>
        <v>0.49019607843137253</v>
      </c>
      <c r="E45" s="569">
        <f t="shared" si="27"/>
        <v>0.32579185520361992</v>
      </c>
      <c r="F45" s="569">
        <f t="shared" si="27"/>
        <v>0.11219512195121951</v>
      </c>
      <c r="G45" s="569">
        <f t="shared" si="27"/>
        <v>0.3342857142857143</v>
      </c>
      <c r="H45" s="569">
        <f t="shared" si="27"/>
        <v>0.27272727272727271</v>
      </c>
      <c r="I45" s="569">
        <f t="shared" si="27"/>
        <v>0.23591549295774647</v>
      </c>
      <c r="J45" s="569">
        <f t="shared" si="27"/>
        <v>0.33078184800437399</v>
      </c>
    </row>
    <row r="46" spans="1:33" ht="18.75" customHeight="1" x14ac:dyDescent="0.15">
      <c r="A46" s="985" t="s">
        <v>458</v>
      </c>
      <c r="B46" s="546">
        <f>SUM(N35:P35)</f>
        <v>11</v>
      </c>
      <c r="C46" s="546">
        <f>SUM(Q35:R35)</f>
        <v>25</v>
      </c>
      <c r="D46" s="546">
        <f>SUM(S35:V35)</f>
        <v>22</v>
      </c>
      <c r="E46" s="546">
        <f>SUM(W35:Y35)</f>
        <v>11</v>
      </c>
      <c r="F46" s="546">
        <f>SUM(Z35:AA35)</f>
        <v>0</v>
      </c>
      <c r="G46" s="546">
        <f>SUM(AB35:AD35)</f>
        <v>39</v>
      </c>
      <c r="H46" s="546">
        <f>AE35</f>
        <v>0</v>
      </c>
      <c r="I46" s="546">
        <f>AF35</f>
        <v>13</v>
      </c>
      <c r="J46" s="547">
        <f t="shared" ref="J46" si="28">SUM(B46:I46)</f>
        <v>121</v>
      </c>
    </row>
    <row r="47" spans="1:33" ht="18.75" customHeight="1" x14ac:dyDescent="0.15">
      <c r="A47" s="986"/>
      <c r="B47" s="569">
        <f>B46/B$14</f>
        <v>4.1825095057034217E-2</v>
      </c>
      <c r="C47" s="569">
        <f t="shared" ref="C47:J47" si="29">C46/C$14</f>
        <v>0.13227513227513227</v>
      </c>
      <c r="D47" s="569">
        <f t="shared" si="29"/>
        <v>7.1895424836601302E-2</v>
      </c>
      <c r="E47" s="569">
        <f t="shared" si="29"/>
        <v>4.9773755656108594E-2</v>
      </c>
      <c r="F47" s="569">
        <f t="shared" si="29"/>
        <v>0</v>
      </c>
      <c r="G47" s="569">
        <f t="shared" si="29"/>
        <v>0.11142857142857143</v>
      </c>
      <c r="H47" s="569">
        <f t="shared" si="29"/>
        <v>0</v>
      </c>
      <c r="I47" s="569">
        <f t="shared" si="29"/>
        <v>4.5774647887323945E-2</v>
      </c>
      <c r="J47" s="569">
        <f t="shared" si="29"/>
        <v>6.6156369600874801E-2</v>
      </c>
    </row>
    <row r="48" spans="1:33" ht="18.75" customHeight="1" x14ac:dyDescent="0.15">
      <c r="A48" s="985" t="s">
        <v>459</v>
      </c>
      <c r="B48" s="546">
        <f>SUM(N36:P36)</f>
        <v>20</v>
      </c>
      <c r="C48" s="546">
        <f>SUM(Q36:R36)</f>
        <v>6</v>
      </c>
      <c r="D48" s="546">
        <f>SUM(S36:V36)</f>
        <v>7</v>
      </c>
      <c r="E48" s="546">
        <f>SUM(W36:Y36)</f>
        <v>8</v>
      </c>
      <c r="F48" s="546">
        <f>SUM(Z36:AA36)</f>
        <v>1</v>
      </c>
      <c r="G48" s="546">
        <f>SUM(AB36:AD36)</f>
        <v>26</v>
      </c>
      <c r="H48" s="546">
        <f>AE36</f>
        <v>0</v>
      </c>
      <c r="I48" s="546">
        <f>AF36</f>
        <v>2</v>
      </c>
      <c r="J48" s="547">
        <f t="shared" ref="J48" si="30">SUM(B48:I48)</f>
        <v>70</v>
      </c>
    </row>
    <row r="49" spans="1:10" ht="18.75" customHeight="1" x14ac:dyDescent="0.15">
      <c r="A49" s="986"/>
      <c r="B49" s="569">
        <f>B48/B$14</f>
        <v>7.6045627376425853E-2</v>
      </c>
      <c r="C49" s="569">
        <f t="shared" ref="C49:J49" si="31">C48/C$14</f>
        <v>3.1746031746031744E-2</v>
      </c>
      <c r="D49" s="569">
        <f t="shared" si="31"/>
        <v>2.2875816993464051E-2</v>
      </c>
      <c r="E49" s="569">
        <f t="shared" si="31"/>
        <v>3.6199095022624438E-2</v>
      </c>
      <c r="F49" s="569">
        <f t="shared" si="31"/>
        <v>4.8780487804878049E-3</v>
      </c>
      <c r="G49" s="569">
        <f t="shared" si="31"/>
        <v>7.4285714285714288E-2</v>
      </c>
      <c r="H49" s="569">
        <f t="shared" si="31"/>
        <v>0</v>
      </c>
      <c r="I49" s="569">
        <f t="shared" si="31"/>
        <v>7.0422535211267607E-3</v>
      </c>
      <c r="J49" s="569">
        <f t="shared" si="31"/>
        <v>3.8272279934390377E-2</v>
      </c>
    </row>
    <row r="50" spans="1:10" ht="18.75" customHeight="1" x14ac:dyDescent="0.15">
      <c r="A50" s="985" t="s">
        <v>460</v>
      </c>
      <c r="B50" s="546">
        <f>SUM(N37:P37)</f>
        <v>0</v>
      </c>
      <c r="C50" s="546">
        <f>SUM(Q37:R37)</f>
        <v>0</v>
      </c>
      <c r="D50" s="546">
        <f>SUM(S37:V37)</f>
        <v>6</v>
      </c>
      <c r="E50" s="546">
        <f>SUM(W37:Y37)</f>
        <v>0</v>
      </c>
      <c r="F50" s="546">
        <f>SUM(Z37:AA37)</f>
        <v>0</v>
      </c>
      <c r="G50" s="546">
        <f>SUM(AB37:AD37)</f>
        <v>0</v>
      </c>
      <c r="H50" s="546">
        <f>AE37</f>
        <v>0</v>
      </c>
      <c r="I50" s="546">
        <f>AF37</f>
        <v>0</v>
      </c>
      <c r="J50" s="547">
        <f t="shared" ref="J50" si="32">SUM(B50:I50)</f>
        <v>6</v>
      </c>
    </row>
    <row r="51" spans="1:10" ht="18.75" customHeight="1" x14ac:dyDescent="0.15">
      <c r="A51" s="986"/>
      <c r="B51" s="569">
        <f>B50/B$14</f>
        <v>0</v>
      </c>
      <c r="C51" s="569">
        <f t="shared" ref="C51:J51" si="33">C50/C$14</f>
        <v>0</v>
      </c>
      <c r="D51" s="569">
        <f t="shared" si="33"/>
        <v>1.9607843137254902E-2</v>
      </c>
      <c r="E51" s="569">
        <f t="shared" si="33"/>
        <v>0</v>
      </c>
      <c r="F51" s="569">
        <f t="shared" si="33"/>
        <v>0</v>
      </c>
      <c r="G51" s="569">
        <f t="shared" si="33"/>
        <v>0</v>
      </c>
      <c r="H51" s="569">
        <f t="shared" si="33"/>
        <v>0</v>
      </c>
      <c r="I51" s="569">
        <f t="shared" si="33"/>
        <v>0</v>
      </c>
      <c r="J51" s="569">
        <f t="shared" si="33"/>
        <v>3.2804811372334607E-3</v>
      </c>
    </row>
    <row r="52" spans="1:10" ht="18.75" customHeight="1" x14ac:dyDescent="0.15">
      <c r="A52" s="985" t="s">
        <v>461</v>
      </c>
      <c r="B52" s="546">
        <f>SUM(N38:P38)</f>
        <v>20</v>
      </c>
      <c r="C52" s="546">
        <f>SUM(Q38:R38)</f>
        <v>9</v>
      </c>
      <c r="D52" s="546">
        <f>SUM(S38:V38)</f>
        <v>34</v>
      </c>
      <c r="E52" s="546">
        <f>SUM(W38:Y38)</f>
        <v>27</v>
      </c>
      <c r="F52" s="546">
        <f>SUM(Z38:AA38)</f>
        <v>1</v>
      </c>
      <c r="G52" s="546">
        <f>SUM(AB38:AD38)</f>
        <v>47</v>
      </c>
      <c r="H52" s="546">
        <f>AE38</f>
        <v>1</v>
      </c>
      <c r="I52" s="546">
        <f>AF38</f>
        <v>10</v>
      </c>
      <c r="J52" s="547">
        <f t="shared" ref="J52" si="34">SUM(B52:I52)</f>
        <v>149</v>
      </c>
    </row>
    <row r="53" spans="1:10" ht="18.75" customHeight="1" x14ac:dyDescent="0.15">
      <c r="A53" s="986"/>
      <c r="B53" s="569">
        <f>B52/B$14</f>
        <v>7.6045627376425853E-2</v>
      </c>
      <c r="C53" s="569">
        <f t="shared" ref="C53:J53" si="35">C52/C$14</f>
        <v>4.7619047619047616E-2</v>
      </c>
      <c r="D53" s="569">
        <f t="shared" si="35"/>
        <v>0.1111111111111111</v>
      </c>
      <c r="E53" s="569">
        <f t="shared" si="35"/>
        <v>0.12217194570135746</v>
      </c>
      <c r="F53" s="569">
        <f t="shared" si="35"/>
        <v>4.8780487804878049E-3</v>
      </c>
      <c r="G53" s="569">
        <f t="shared" si="35"/>
        <v>0.13428571428571429</v>
      </c>
      <c r="H53" s="569">
        <f t="shared" si="35"/>
        <v>9.0909090909090912E-2</v>
      </c>
      <c r="I53" s="569">
        <f t="shared" si="35"/>
        <v>3.5211267605633804E-2</v>
      </c>
      <c r="J53" s="569">
        <f t="shared" si="35"/>
        <v>8.1465281574630941E-2</v>
      </c>
    </row>
    <row r="54" spans="1:10" ht="18.75" customHeight="1" x14ac:dyDescent="0.15">
      <c r="A54" s="985" t="s">
        <v>462</v>
      </c>
      <c r="B54" s="546">
        <f>SUM(N39:P39)</f>
        <v>17</v>
      </c>
      <c r="C54" s="546">
        <f>SUM(Q39:R39)</f>
        <v>3</v>
      </c>
      <c r="D54" s="546">
        <f>SUM(S39:V39)</f>
        <v>24</v>
      </c>
      <c r="E54" s="546">
        <f>SUM(W39:Y39)</f>
        <v>28</v>
      </c>
      <c r="F54" s="546">
        <f>SUM(Z39:AA39)</f>
        <v>1</v>
      </c>
      <c r="G54" s="546">
        <f>SUM(AB39:AD39)</f>
        <v>49</v>
      </c>
      <c r="H54" s="546">
        <f>AE39</f>
        <v>0</v>
      </c>
      <c r="I54" s="546">
        <f>AF39</f>
        <v>9</v>
      </c>
      <c r="J54" s="547">
        <f t="shared" ref="J54" si="36">SUM(B54:I54)</f>
        <v>131</v>
      </c>
    </row>
    <row r="55" spans="1:10" ht="18.75" customHeight="1" x14ac:dyDescent="0.15">
      <c r="A55" s="986"/>
      <c r="B55" s="569">
        <f>B54/B$14</f>
        <v>6.4638783269961975E-2</v>
      </c>
      <c r="C55" s="569">
        <f t="shared" ref="C55:J55" si="37">C54/C$14</f>
        <v>1.5873015873015872E-2</v>
      </c>
      <c r="D55" s="569">
        <f t="shared" si="37"/>
        <v>7.8431372549019607E-2</v>
      </c>
      <c r="E55" s="569">
        <f t="shared" si="37"/>
        <v>0.12669683257918551</v>
      </c>
      <c r="F55" s="569">
        <f t="shared" si="37"/>
        <v>4.8780487804878049E-3</v>
      </c>
      <c r="G55" s="569">
        <f t="shared" si="37"/>
        <v>0.14000000000000001</v>
      </c>
      <c r="H55" s="569">
        <f t="shared" si="37"/>
        <v>0</v>
      </c>
      <c r="I55" s="569">
        <f t="shared" si="37"/>
        <v>3.1690140845070422E-2</v>
      </c>
      <c r="J55" s="569">
        <f t="shared" si="37"/>
        <v>7.1623838162930567E-2</v>
      </c>
    </row>
    <row r="56" spans="1:10" ht="18.75" customHeight="1" x14ac:dyDescent="0.15">
      <c r="A56" s="985" t="s">
        <v>247</v>
      </c>
      <c r="B56" s="546">
        <f>SUM(N40:P40)</f>
        <v>2</v>
      </c>
      <c r="C56" s="546">
        <f>SUM(Q40:R40)</f>
        <v>2</v>
      </c>
      <c r="D56" s="546">
        <f>SUM(S40:V40)</f>
        <v>6</v>
      </c>
      <c r="E56" s="546">
        <f>SUM(W40:Y40)</f>
        <v>1</v>
      </c>
      <c r="F56" s="546">
        <f>SUM(Z40:AA40)</f>
        <v>1</v>
      </c>
      <c r="G56" s="546">
        <f>SUM(AB40:AD40)</f>
        <v>15</v>
      </c>
      <c r="H56" s="546">
        <f>AE40</f>
        <v>0</v>
      </c>
      <c r="I56" s="546">
        <f>AF40</f>
        <v>1</v>
      </c>
      <c r="J56" s="547">
        <f t="shared" ref="J56" si="38">SUM(B56:I56)</f>
        <v>28</v>
      </c>
    </row>
    <row r="57" spans="1:10" ht="18.75" customHeight="1" x14ac:dyDescent="0.15">
      <c r="A57" s="986"/>
      <c r="B57" s="569">
        <f>B56/B$14</f>
        <v>7.6045627376425855E-3</v>
      </c>
      <c r="C57" s="569">
        <f t="shared" ref="C57:J57" si="39">C56/C$14</f>
        <v>1.0582010582010581E-2</v>
      </c>
      <c r="D57" s="569">
        <f t="shared" si="39"/>
        <v>1.9607843137254902E-2</v>
      </c>
      <c r="E57" s="569">
        <f t="shared" si="39"/>
        <v>4.5248868778280547E-3</v>
      </c>
      <c r="F57" s="569">
        <f t="shared" si="39"/>
        <v>4.8780487804878049E-3</v>
      </c>
      <c r="G57" s="569">
        <f t="shared" si="39"/>
        <v>4.2857142857142858E-2</v>
      </c>
      <c r="H57" s="569">
        <f t="shared" si="39"/>
        <v>0</v>
      </c>
      <c r="I57" s="569">
        <f t="shared" si="39"/>
        <v>3.5211267605633804E-3</v>
      </c>
      <c r="J57" s="569">
        <f t="shared" si="39"/>
        <v>1.530891197375615E-2</v>
      </c>
    </row>
    <row r="58" spans="1:10" ht="18.75" customHeight="1" x14ac:dyDescent="0.15">
      <c r="A58" s="985" t="s">
        <v>378</v>
      </c>
      <c r="B58" s="546">
        <f>SUM(N41:P41)</f>
        <v>35</v>
      </c>
      <c r="C58" s="546">
        <f>SUM(Q41:R41)</f>
        <v>9</v>
      </c>
      <c r="D58" s="546">
        <f>SUM(S41:V41)</f>
        <v>67</v>
      </c>
      <c r="E58" s="546">
        <f>SUM(W41:Y41)</f>
        <v>20</v>
      </c>
      <c r="F58" s="546">
        <f>SUM(Z41:AA41)</f>
        <v>31</v>
      </c>
      <c r="G58" s="546">
        <f>SUM(AB41:AD41)</f>
        <v>67</v>
      </c>
      <c r="H58" s="546">
        <f>SUM(AE41)</f>
        <v>0</v>
      </c>
      <c r="I58" s="546">
        <f>SUM(AF41)</f>
        <v>66</v>
      </c>
      <c r="J58" s="547">
        <f t="shared" ref="J58" si="40">SUM(B58:I58)</f>
        <v>295</v>
      </c>
    </row>
    <row r="59" spans="1:10" ht="18.75" customHeight="1" x14ac:dyDescent="0.15">
      <c r="A59" s="986"/>
      <c r="B59" s="569">
        <f>B58/B$14</f>
        <v>0.13307984790874525</v>
      </c>
      <c r="C59" s="569">
        <f t="shared" ref="C59:J59" si="41">C58/C$14</f>
        <v>4.7619047619047616E-2</v>
      </c>
      <c r="D59" s="569">
        <f t="shared" si="41"/>
        <v>0.21895424836601307</v>
      </c>
      <c r="E59" s="569">
        <f t="shared" si="41"/>
        <v>9.0497737556561084E-2</v>
      </c>
      <c r="F59" s="569">
        <f t="shared" si="41"/>
        <v>0.15121951219512195</v>
      </c>
      <c r="G59" s="569">
        <f t="shared" si="41"/>
        <v>0.19142857142857142</v>
      </c>
      <c r="H59" s="569">
        <f t="shared" si="41"/>
        <v>0</v>
      </c>
      <c r="I59" s="569">
        <f t="shared" si="41"/>
        <v>0.23239436619718309</v>
      </c>
      <c r="J59" s="569">
        <f t="shared" si="41"/>
        <v>0.16129032258064516</v>
      </c>
    </row>
    <row r="60" spans="1:10" ht="18.75" customHeight="1" x14ac:dyDescent="0.15">
      <c r="A60" s="985" t="s">
        <v>379</v>
      </c>
      <c r="B60" s="546">
        <f>SUM(N42:P42)</f>
        <v>22</v>
      </c>
      <c r="C60" s="546">
        <f>SUM(Q42:R42)</f>
        <v>22</v>
      </c>
      <c r="D60" s="546">
        <f>SUM(S42:V42)</f>
        <v>22</v>
      </c>
      <c r="E60" s="546">
        <f>SUM(W42:Y42)</f>
        <v>9</v>
      </c>
      <c r="F60" s="546">
        <f>SUM(Z42:AA42)</f>
        <v>8</v>
      </c>
      <c r="G60" s="546">
        <f>SUM(AB42:AD42)</f>
        <v>27</v>
      </c>
      <c r="H60" s="546">
        <f>SUM(AE42)</f>
        <v>1</v>
      </c>
      <c r="I60" s="546">
        <f>SUM(AF42)</f>
        <v>62</v>
      </c>
      <c r="J60" s="547">
        <f t="shared" ref="J60" si="42">SUM(B60:I60)</f>
        <v>173</v>
      </c>
    </row>
    <row r="61" spans="1:10" ht="18.75" customHeight="1" x14ac:dyDescent="0.15">
      <c r="A61" s="986"/>
      <c r="B61" s="569">
        <f>B60/B$14</f>
        <v>8.3650190114068435E-2</v>
      </c>
      <c r="C61" s="569">
        <f t="shared" ref="C61:J61" si="43">C60/C$14</f>
        <v>0.1164021164021164</v>
      </c>
      <c r="D61" s="569">
        <f t="shared" si="43"/>
        <v>7.1895424836601302E-2</v>
      </c>
      <c r="E61" s="569">
        <f t="shared" si="43"/>
        <v>4.072398190045249E-2</v>
      </c>
      <c r="F61" s="569">
        <f t="shared" si="43"/>
        <v>3.9024390243902439E-2</v>
      </c>
      <c r="G61" s="569">
        <f t="shared" si="43"/>
        <v>7.7142857142857138E-2</v>
      </c>
      <c r="H61" s="569">
        <f t="shared" si="43"/>
        <v>9.0909090909090912E-2</v>
      </c>
      <c r="I61" s="569">
        <f t="shared" si="43"/>
        <v>0.21830985915492956</v>
      </c>
      <c r="J61" s="569">
        <f t="shared" si="43"/>
        <v>9.458720612356479E-2</v>
      </c>
    </row>
    <row r="62" spans="1:10" ht="18.75" customHeight="1" x14ac:dyDescent="0.15">
      <c r="A62" s="985" t="s">
        <v>463</v>
      </c>
      <c r="B62" s="546">
        <f>SUM(N43:P43)</f>
        <v>3</v>
      </c>
      <c r="C62" s="546">
        <f>SUM(Q43:R43)</f>
        <v>3</v>
      </c>
      <c r="D62" s="546">
        <f>SUM(S43:V43)</f>
        <v>4</v>
      </c>
      <c r="E62" s="546">
        <f>SUM(W43:Y43)</f>
        <v>18</v>
      </c>
      <c r="F62" s="546">
        <f>SUM(Z43:AA43)</f>
        <v>0</v>
      </c>
      <c r="G62" s="546">
        <f>SUM(AB43:AD43)</f>
        <v>16</v>
      </c>
      <c r="H62" s="546">
        <f>SUM(AE43)</f>
        <v>0</v>
      </c>
      <c r="I62" s="546">
        <f>SUM(AF43)</f>
        <v>6</v>
      </c>
      <c r="J62" s="547">
        <f t="shared" ref="J62" si="44">SUM(B62:I62)</f>
        <v>50</v>
      </c>
    </row>
    <row r="63" spans="1:10" ht="18.75" customHeight="1" x14ac:dyDescent="0.15">
      <c r="A63" s="986"/>
      <c r="B63" s="569">
        <f>B62/B$14</f>
        <v>1.1406844106463879E-2</v>
      </c>
      <c r="C63" s="569">
        <f t="shared" ref="C63:J63" si="45">C62/C$14</f>
        <v>1.5873015873015872E-2</v>
      </c>
      <c r="D63" s="569">
        <f t="shared" si="45"/>
        <v>1.3071895424836602E-2</v>
      </c>
      <c r="E63" s="569">
        <f t="shared" si="45"/>
        <v>8.1447963800904979E-2</v>
      </c>
      <c r="F63" s="569">
        <f t="shared" si="45"/>
        <v>0</v>
      </c>
      <c r="G63" s="569">
        <f t="shared" si="45"/>
        <v>4.5714285714285714E-2</v>
      </c>
      <c r="H63" s="569">
        <f t="shared" si="45"/>
        <v>0</v>
      </c>
      <c r="I63" s="569">
        <f t="shared" si="45"/>
        <v>2.1126760563380281E-2</v>
      </c>
      <c r="J63" s="569">
        <f t="shared" si="45"/>
        <v>2.7337342810278841E-2</v>
      </c>
    </row>
    <row r="65" spans="1:11" x14ac:dyDescent="0.15">
      <c r="A65" s="628"/>
      <c r="B65" s="628"/>
      <c r="C65" s="628"/>
      <c r="D65" s="628"/>
      <c r="E65" s="628"/>
      <c r="F65" s="628"/>
      <c r="G65" s="628"/>
      <c r="H65" s="628"/>
      <c r="I65" s="628"/>
      <c r="J65" s="145"/>
      <c r="K65" s="145"/>
    </row>
    <row r="66" spans="1:11" x14ac:dyDescent="0.15">
      <c r="A66" s="548"/>
      <c r="B66" s="145"/>
      <c r="C66" s="145"/>
      <c r="D66" s="145"/>
      <c r="E66" s="145"/>
      <c r="F66" s="145"/>
      <c r="G66" s="145"/>
      <c r="H66" s="145"/>
      <c r="I66" s="145"/>
      <c r="J66" s="145"/>
      <c r="K66" s="145"/>
    </row>
    <row r="67" spans="1:11" x14ac:dyDescent="0.15">
      <c r="A67" s="145"/>
      <c r="B67" s="145"/>
      <c r="C67" s="145"/>
      <c r="D67" s="145"/>
      <c r="E67" s="145"/>
      <c r="F67" s="145"/>
      <c r="G67" s="145"/>
      <c r="H67" s="145"/>
      <c r="I67" s="145"/>
      <c r="J67" s="145"/>
      <c r="K67" s="145"/>
    </row>
    <row r="68" spans="1:11" x14ac:dyDescent="0.15">
      <c r="A68" s="145"/>
      <c r="B68" s="145"/>
      <c r="C68" s="145"/>
      <c r="D68" s="145"/>
      <c r="E68" s="145"/>
      <c r="F68" s="145"/>
      <c r="G68" s="145"/>
      <c r="H68" s="145"/>
      <c r="I68" s="145"/>
      <c r="J68" s="145"/>
      <c r="K68" s="145"/>
    </row>
    <row r="69" spans="1:11" x14ac:dyDescent="0.15">
      <c r="A69" s="145"/>
      <c r="B69" s="145"/>
      <c r="C69" s="145"/>
      <c r="D69" s="145"/>
      <c r="E69" s="145"/>
      <c r="F69" s="145"/>
      <c r="G69" s="145"/>
      <c r="H69" s="145"/>
      <c r="I69" s="145"/>
      <c r="J69" s="145"/>
      <c r="K69" s="145"/>
    </row>
    <row r="70" spans="1:11" x14ac:dyDescent="0.15">
      <c r="A70" s="145"/>
      <c r="B70" s="145"/>
      <c r="C70" s="145"/>
      <c r="D70" s="145"/>
      <c r="E70" s="145"/>
      <c r="F70" s="145"/>
      <c r="G70" s="145"/>
      <c r="H70" s="145"/>
      <c r="I70" s="145"/>
      <c r="J70" s="145"/>
      <c r="K70" s="145"/>
    </row>
    <row r="71" spans="1:11" x14ac:dyDescent="0.15">
      <c r="A71" s="145"/>
      <c r="B71" s="145"/>
      <c r="C71" s="145"/>
      <c r="D71" s="145"/>
      <c r="E71" s="145"/>
      <c r="F71" s="145"/>
      <c r="G71" s="145"/>
      <c r="H71" s="145"/>
      <c r="I71" s="145"/>
      <c r="J71" s="145"/>
      <c r="K71" s="145"/>
    </row>
    <row r="72" spans="1:11" x14ac:dyDescent="0.15">
      <c r="A72" s="145"/>
      <c r="B72" s="145"/>
      <c r="C72" s="145"/>
      <c r="D72" s="145"/>
      <c r="E72" s="145"/>
      <c r="F72" s="145"/>
      <c r="G72" s="145"/>
      <c r="H72" s="145"/>
      <c r="I72" s="145"/>
      <c r="J72" s="145"/>
      <c r="K72" s="145"/>
    </row>
    <row r="73" spans="1:11" x14ac:dyDescent="0.15">
      <c r="A73" s="145"/>
      <c r="B73" s="145"/>
      <c r="C73" s="145"/>
      <c r="D73" s="145"/>
      <c r="E73" s="145"/>
      <c r="F73" s="145"/>
      <c r="G73" s="145"/>
      <c r="H73" s="145"/>
      <c r="I73" s="145"/>
      <c r="J73" s="145"/>
      <c r="K73" s="145"/>
    </row>
    <row r="74" spans="1:11" x14ac:dyDescent="0.15">
      <c r="A74" s="145"/>
      <c r="B74" s="145"/>
      <c r="C74" s="145"/>
      <c r="D74" s="145"/>
      <c r="E74" s="145"/>
      <c r="F74" s="145"/>
      <c r="G74" s="145"/>
      <c r="H74" s="145"/>
      <c r="I74" s="145"/>
      <c r="J74" s="145"/>
      <c r="K74" s="145"/>
    </row>
    <row r="75" spans="1:11" x14ac:dyDescent="0.15">
      <c r="A75" s="145"/>
      <c r="B75" s="145"/>
      <c r="C75" s="145"/>
      <c r="D75" s="145"/>
      <c r="E75" s="145"/>
      <c r="F75" s="145"/>
      <c r="G75" s="145"/>
      <c r="H75" s="145"/>
      <c r="I75" s="145"/>
      <c r="J75" s="145"/>
      <c r="K75" s="145"/>
    </row>
    <row r="76" spans="1:11" x14ac:dyDescent="0.15">
      <c r="A76" s="145"/>
      <c r="B76" s="145"/>
      <c r="C76" s="145"/>
      <c r="D76" s="145"/>
      <c r="E76" s="145"/>
      <c r="F76" s="145"/>
      <c r="G76" s="145"/>
      <c r="H76" s="145"/>
      <c r="I76" s="145"/>
      <c r="J76" s="145"/>
      <c r="K76" s="145"/>
    </row>
    <row r="77" spans="1:11" x14ac:dyDescent="0.15">
      <c r="A77" s="145"/>
      <c r="B77" s="145"/>
      <c r="C77" s="145"/>
      <c r="D77" s="145"/>
      <c r="E77" s="145"/>
      <c r="F77" s="145"/>
      <c r="G77" s="145"/>
      <c r="H77" s="145"/>
      <c r="I77" s="145"/>
      <c r="J77" s="145"/>
      <c r="K77" s="145"/>
    </row>
    <row r="78" spans="1:11" x14ac:dyDescent="0.15">
      <c r="A78" s="145"/>
      <c r="B78" s="145"/>
      <c r="C78" s="145"/>
      <c r="D78" s="145"/>
      <c r="E78" s="145"/>
      <c r="F78" s="145"/>
      <c r="G78" s="145"/>
      <c r="H78" s="145"/>
      <c r="I78" s="145"/>
      <c r="J78" s="145"/>
      <c r="K78" s="145"/>
    </row>
    <row r="79" spans="1:11" x14ac:dyDescent="0.15">
      <c r="A79" s="145"/>
      <c r="B79" s="145"/>
      <c r="C79" s="145"/>
      <c r="D79" s="145"/>
      <c r="E79" s="145"/>
      <c r="F79" s="145"/>
      <c r="G79" s="145"/>
      <c r="H79" s="145"/>
      <c r="I79" s="145"/>
      <c r="J79" s="145"/>
      <c r="K79" s="145"/>
    </row>
    <row r="80" spans="1:11" x14ac:dyDescent="0.15">
      <c r="A80" s="145"/>
      <c r="B80" s="145"/>
      <c r="C80" s="145"/>
      <c r="D80" s="145"/>
      <c r="E80" s="145"/>
      <c r="F80" s="145"/>
      <c r="G80" s="145"/>
      <c r="H80" s="145"/>
      <c r="I80" s="145"/>
      <c r="J80" s="145"/>
      <c r="K80" s="145"/>
    </row>
    <row r="81" spans="1:11" x14ac:dyDescent="0.15">
      <c r="A81" s="145"/>
      <c r="B81" s="145"/>
      <c r="C81" s="145"/>
      <c r="D81" s="145"/>
      <c r="E81" s="145"/>
      <c r="F81" s="145"/>
      <c r="G81" s="145"/>
      <c r="H81" s="145"/>
      <c r="I81" s="145"/>
      <c r="J81" s="145"/>
      <c r="K81" s="145"/>
    </row>
    <row r="82" spans="1:11" x14ac:dyDescent="0.15">
      <c r="A82" s="145"/>
      <c r="B82" s="145"/>
      <c r="C82" s="145"/>
      <c r="D82" s="145"/>
      <c r="E82" s="145"/>
      <c r="F82" s="145"/>
      <c r="G82" s="145"/>
      <c r="H82" s="145"/>
      <c r="I82" s="145"/>
      <c r="J82" s="145"/>
      <c r="K82" s="145"/>
    </row>
    <row r="83" spans="1:11" x14ac:dyDescent="0.15">
      <c r="A83" s="145"/>
      <c r="B83" s="145"/>
      <c r="C83" s="145"/>
      <c r="D83" s="145"/>
      <c r="E83" s="145"/>
      <c r="F83" s="145"/>
      <c r="G83" s="145"/>
      <c r="H83" s="145"/>
      <c r="I83" s="145"/>
      <c r="J83" s="145"/>
      <c r="K83" s="145"/>
    </row>
    <row r="84" spans="1:11" x14ac:dyDescent="0.15">
      <c r="A84" s="145"/>
      <c r="B84" s="145"/>
      <c r="C84" s="145"/>
      <c r="D84" s="145"/>
      <c r="E84" s="145"/>
      <c r="F84" s="145"/>
      <c r="G84" s="145"/>
      <c r="H84" s="145"/>
      <c r="I84" s="145"/>
      <c r="J84" s="145"/>
      <c r="K84" s="145"/>
    </row>
    <row r="85" spans="1:11" x14ac:dyDescent="0.15">
      <c r="A85" s="145"/>
      <c r="B85" s="145"/>
      <c r="C85" s="145"/>
      <c r="D85" s="145"/>
      <c r="E85" s="145"/>
      <c r="F85" s="145"/>
      <c r="G85" s="145"/>
      <c r="H85" s="145"/>
      <c r="I85" s="145"/>
      <c r="J85" s="145"/>
      <c r="K85" s="145"/>
    </row>
    <row r="86" spans="1:11" x14ac:dyDescent="0.15">
      <c r="A86" s="548"/>
      <c r="B86" s="145"/>
      <c r="C86" s="145"/>
      <c r="D86" s="145"/>
      <c r="E86" s="145"/>
      <c r="F86" s="145"/>
      <c r="G86" s="145"/>
      <c r="H86" s="145"/>
      <c r="I86" s="145"/>
      <c r="J86" s="145"/>
      <c r="K86" s="145"/>
    </row>
    <row r="87" spans="1:11" x14ac:dyDescent="0.15">
      <c r="A87" s="548"/>
      <c r="B87" s="145"/>
      <c r="C87" s="145"/>
      <c r="D87" s="145"/>
      <c r="E87" s="145"/>
      <c r="F87" s="145"/>
      <c r="G87" s="145"/>
      <c r="H87" s="145"/>
      <c r="I87" s="145"/>
      <c r="J87" s="145"/>
      <c r="K87" s="145"/>
    </row>
    <row r="88" spans="1:11" x14ac:dyDescent="0.15">
      <c r="A88" s="145"/>
      <c r="B88" s="145"/>
      <c r="C88" s="145"/>
      <c r="D88" s="145"/>
      <c r="E88" s="145"/>
      <c r="F88" s="145"/>
      <c r="G88" s="145"/>
      <c r="H88" s="145"/>
      <c r="I88" s="145"/>
      <c r="J88" s="145"/>
      <c r="K88" s="145"/>
    </row>
    <row r="89" spans="1:11" x14ac:dyDescent="0.15">
      <c r="A89" s="145"/>
      <c r="B89" s="145"/>
      <c r="C89" s="145"/>
      <c r="D89" s="145"/>
      <c r="E89" s="145"/>
      <c r="F89" s="145"/>
      <c r="G89" s="145"/>
      <c r="H89" s="145"/>
      <c r="I89" s="145"/>
      <c r="J89" s="145"/>
      <c r="K89" s="145"/>
    </row>
  </sheetData>
  <mergeCells count="27">
    <mergeCell ref="A62:A63"/>
    <mergeCell ref="A46:A47"/>
    <mergeCell ref="A48:A49"/>
    <mergeCell ref="A50:A51"/>
    <mergeCell ref="A52:A53"/>
    <mergeCell ref="A54:A55"/>
    <mergeCell ref="A56:A57"/>
    <mergeCell ref="A58:A59"/>
    <mergeCell ref="A60:A61"/>
    <mergeCell ref="A44:A45"/>
    <mergeCell ref="A18:A19"/>
    <mergeCell ref="A24:A25"/>
    <mergeCell ref="A26:A27"/>
    <mergeCell ref="A28:A29"/>
    <mergeCell ref="A30:A31"/>
    <mergeCell ref="A32:A33"/>
    <mergeCell ref="A34:A35"/>
    <mergeCell ref="A36:A37"/>
    <mergeCell ref="A38:A39"/>
    <mergeCell ref="A40:A41"/>
    <mergeCell ref="A42:A43"/>
    <mergeCell ref="A16:A17"/>
    <mergeCell ref="A4:A5"/>
    <mergeCell ref="A6:A7"/>
    <mergeCell ref="A8:A9"/>
    <mergeCell ref="A10:A11"/>
    <mergeCell ref="A14:A15"/>
  </mergeCells>
  <phoneticPr fontId="2"/>
  <pageMargins left="0.70866141732283472" right="0.70866141732283472" top="0.74803149606299213" bottom="0.74803149606299213" header="0.31496062992125984" footer="0.31496062992125984"/>
  <pageSetup paperSize="9" scale="68" orientation="portrait" r:id="rId1"/>
  <rowBreaks count="1" manualBreakCount="1">
    <brk id="20"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41985" r:id="rId4" name="Button 1">
              <controlPr defaultSize="0" print="0" autoFill="0" autoPict="0" macro="[0]!データ削除30">
                <anchor moveWithCells="1" sizeWithCells="1">
                  <from>
                    <xdr:col>32</xdr:col>
                    <xdr:colOff>466725</xdr:colOff>
                    <xdr:row>1</xdr:row>
                    <xdr:rowOff>190500</xdr:rowOff>
                  </from>
                  <to>
                    <xdr:col>36</xdr:col>
                    <xdr:colOff>57150</xdr:colOff>
                    <xdr:row>4</xdr:row>
                    <xdr:rowOff>95250</xdr:rowOff>
                  </to>
                </anchor>
              </controlPr>
            </control>
          </mc:Choice>
        </mc:AlternateContent>
        <mc:AlternateContent xmlns:mc="http://schemas.openxmlformats.org/markup-compatibility/2006">
          <mc:Choice Requires="x14">
            <control shapeId="41986" r:id="rId5" name="Button 2">
              <controlPr defaultSize="0" print="0" autoFill="0" autoPict="0" macro="[0]!データ削除_退院阻害病院所在地">
                <anchor moveWithCells="1" sizeWithCells="1">
                  <from>
                    <xdr:col>11</xdr:col>
                    <xdr:colOff>419100</xdr:colOff>
                    <xdr:row>47</xdr:row>
                    <xdr:rowOff>66675</xdr:rowOff>
                  </from>
                  <to>
                    <xdr:col>14</xdr:col>
                    <xdr:colOff>180975</xdr:colOff>
                    <xdr:row>49</xdr:row>
                    <xdr:rowOff>123825</xdr:rowOff>
                  </to>
                </anchor>
              </controlPr>
            </control>
          </mc:Choice>
        </mc:AlternateContent>
      </controls>
    </mc:Choice>
  </mc:AlternateContent>
  <tableParts count="3">
    <tablePart r:id="rId6"/>
    <tablePart r:id="rId7"/>
    <tablePart r:id="rId8"/>
  </tablePart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8">
    <tabColor theme="5" tint="0.39997558519241921"/>
    <pageSetUpPr fitToPage="1"/>
  </sheetPr>
  <dimension ref="A1:AK29"/>
  <sheetViews>
    <sheetView showGridLines="0" view="pageBreakPreview" topLeftCell="C1" zoomScale="80" zoomScaleNormal="70" zoomScaleSheetLayoutView="80" workbookViewId="0">
      <selection activeCell="N1" sqref="N1:AK1048576"/>
    </sheetView>
  </sheetViews>
  <sheetFormatPr defaultColWidth="13.75" defaultRowHeight="18.75" x14ac:dyDescent="0.15"/>
  <cols>
    <col min="1" max="1" width="15.625" style="537" customWidth="1"/>
    <col min="2" max="11" width="9.375" style="537" customWidth="1"/>
    <col min="12" max="13" width="8" style="537" customWidth="1"/>
    <col min="14" max="14" width="10.375" style="537" hidden="1" customWidth="1"/>
    <col min="15" max="15" width="14.75" style="537" hidden="1" customWidth="1"/>
    <col min="16" max="17" width="11.25" style="537" hidden="1" customWidth="1"/>
    <col min="18" max="18" width="9.25" style="537" hidden="1" customWidth="1"/>
    <col min="19" max="19" width="11.25" style="537" hidden="1" customWidth="1"/>
    <col min="20" max="20" width="12.875" style="537" hidden="1" customWidth="1"/>
    <col min="21" max="21" width="14.375" style="537" hidden="1" customWidth="1"/>
    <col min="22" max="23" width="11.25" style="537" hidden="1" customWidth="1"/>
    <col min="24" max="24" width="14.375" style="537" hidden="1" customWidth="1"/>
    <col min="25" max="25" width="12.875" style="537" hidden="1" customWidth="1"/>
    <col min="26" max="28" width="11.25" style="537" hidden="1" customWidth="1"/>
    <col min="29" max="32" width="9.75" style="537" hidden="1" customWidth="1"/>
    <col min="33" max="33" width="9.25" style="537" hidden="1" customWidth="1"/>
    <col min="34" max="34" width="11" style="537" hidden="1" customWidth="1"/>
    <col min="35" max="35" width="14.75" style="537" hidden="1" customWidth="1"/>
    <col min="36" max="36" width="9.25" style="537" hidden="1" customWidth="1"/>
    <col min="37" max="37" width="13.75" style="537" hidden="1" customWidth="1"/>
    <col min="38" max="16384" width="13.75" style="537"/>
  </cols>
  <sheetData>
    <row r="1" spans="1:36" s="3" customFormat="1" ht="19.5" x14ac:dyDescent="0.15">
      <c r="A1" s="2" t="s">
        <v>464</v>
      </c>
    </row>
    <row r="2" spans="1:36" ht="19.5" thickBot="1" x14ac:dyDescent="0.2">
      <c r="A2" s="4"/>
    </row>
    <row r="3" spans="1:36" ht="39" thickTop="1" thickBot="1" x14ac:dyDescent="0.2">
      <c r="A3" s="545"/>
      <c r="B3" s="545" t="s">
        <v>387</v>
      </c>
      <c r="C3" s="545" t="s">
        <v>388</v>
      </c>
      <c r="D3" s="545" t="s">
        <v>389</v>
      </c>
      <c r="E3" s="545" t="s">
        <v>390</v>
      </c>
      <c r="F3" s="545" t="s">
        <v>391</v>
      </c>
      <c r="G3" s="545" t="s">
        <v>392</v>
      </c>
      <c r="H3" s="545" t="s">
        <v>393</v>
      </c>
      <c r="I3" s="545" t="s">
        <v>394</v>
      </c>
      <c r="J3" s="571" t="s">
        <v>465</v>
      </c>
      <c r="K3" s="545" t="s">
        <v>62</v>
      </c>
      <c r="N3" s="732" t="s">
        <v>373</v>
      </c>
      <c r="O3" s="730" t="s">
        <v>395</v>
      </c>
      <c r="P3" s="639" t="s">
        <v>396</v>
      </c>
      <c r="Q3" s="639" t="s">
        <v>397</v>
      </c>
      <c r="R3" s="639" t="s">
        <v>398</v>
      </c>
      <c r="S3" s="639" t="s">
        <v>399</v>
      </c>
      <c r="T3" s="639" t="s">
        <v>400</v>
      </c>
      <c r="U3" s="639" t="s">
        <v>401</v>
      </c>
      <c r="V3" s="639" t="s">
        <v>402</v>
      </c>
      <c r="W3" s="639" t="s">
        <v>403</v>
      </c>
      <c r="X3" s="639" t="s">
        <v>404</v>
      </c>
      <c r="Y3" s="639" t="s">
        <v>565</v>
      </c>
      <c r="Z3" s="639" t="s">
        <v>566</v>
      </c>
      <c r="AA3" s="639" t="s">
        <v>567</v>
      </c>
      <c r="AB3" s="639" t="s">
        <v>568</v>
      </c>
      <c r="AC3" s="639" t="s">
        <v>569</v>
      </c>
      <c r="AD3" s="639" t="s">
        <v>570</v>
      </c>
      <c r="AE3" s="639" t="s">
        <v>571</v>
      </c>
      <c r="AF3" s="639" t="s">
        <v>572</v>
      </c>
      <c r="AG3" s="639" t="s">
        <v>573</v>
      </c>
      <c r="AH3" s="640" t="s">
        <v>620</v>
      </c>
      <c r="AI3" s="640" t="s">
        <v>621</v>
      </c>
      <c r="AJ3" s="640" t="s">
        <v>609</v>
      </c>
    </row>
    <row r="4" spans="1:36" s="21" customFormat="1" ht="18.75" customHeight="1" thickTop="1" thickBot="1" x14ac:dyDescent="0.2">
      <c r="A4" s="968" t="s">
        <v>2</v>
      </c>
      <c r="B4" s="546">
        <f>SUM('6-Ⅱ①'!$O4:$Q4)</f>
        <v>14</v>
      </c>
      <c r="C4" s="546">
        <f>SUM('6-Ⅱ①'!$R4:$S4)</f>
        <v>9</v>
      </c>
      <c r="D4" s="546">
        <f>SUM('6-Ⅱ①'!$T4:$W4)</f>
        <v>20</v>
      </c>
      <c r="E4" s="546">
        <f>SUM('6-Ⅱ①'!$X4:$Z4)</f>
        <v>10</v>
      </c>
      <c r="F4" s="546">
        <f>SUM('6-Ⅱ①'!$AA4:$AB4)</f>
        <v>18</v>
      </c>
      <c r="G4" s="546">
        <f>SUM('6-Ⅱ①'!$AC4:$AE4)</f>
        <v>20</v>
      </c>
      <c r="H4" s="546">
        <f>SUM('6-Ⅱ①'!$AF4)</f>
        <v>39</v>
      </c>
      <c r="I4" s="546">
        <f>SUM('6-Ⅱ①'!$AG4)</f>
        <v>19</v>
      </c>
      <c r="J4" s="546">
        <f>SUM('6-Ⅱ①'!$AH4:$AI4)</f>
        <v>7</v>
      </c>
      <c r="K4" s="547">
        <f>SUM(B4:J4)</f>
        <v>156</v>
      </c>
      <c r="N4" s="625" t="s">
        <v>2</v>
      </c>
      <c r="O4" s="731">
        <v>4</v>
      </c>
      <c r="P4" s="641">
        <v>5</v>
      </c>
      <c r="Q4" s="642">
        <v>5</v>
      </c>
      <c r="R4" s="642">
        <v>3</v>
      </c>
      <c r="S4" s="642">
        <v>6</v>
      </c>
      <c r="T4" s="642">
        <v>7</v>
      </c>
      <c r="U4" s="642">
        <v>4</v>
      </c>
      <c r="V4" s="642">
        <v>2</v>
      </c>
      <c r="W4" s="642">
        <v>7</v>
      </c>
      <c r="X4" s="642">
        <v>6</v>
      </c>
      <c r="Y4" s="642">
        <v>1</v>
      </c>
      <c r="Z4" s="642">
        <v>3</v>
      </c>
      <c r="AA4" s="642">
        <v>8</v>
      </c>
      <c r="AB4" s="642">
        <v>10</v>
      </c>
      <c r="AC4" s="642">
        <v>3</v>
      </c>
      <c r="AD4" s="642">
        <v>10</v>
      </c>
      <c r="AE4" s="642">
        <v>7</v>
      </c>
      <c r="AF4" s="642">
        <v>39</v>
      </c>
      <c r="AG4" s="643">
        <v>19</v>
      </c>
      <c r="AH4" s="644">
        <v>7</v>
      </c>
      <c r="AI4" s="645">
        <v>0</v>
      </c>
      <c r="AJ4" s="705"/>
    </row>
    <row r="5" spans="1:36" s="21" customFormat="1" ht="18.75" customHeight="1" thickTop="1" x14ac:dyDescent="0.15">
      <c r="A5" s="970"/>
      <c r="B5" s="549">
        <f t="shared" ref="B5:I5" si="0">B4/B$22</f>
        <v>1.1589403973509934E-2</v>
      </c>
      <c r="C5" s="549">
        <f t="shared" si="0"/>
        <v>7.0093457943925233E-3</v>
      </c>
      <c r="D5" s="549">
        <f t="shared" si="0"/>
        <v>1.556420233463035E-2</v>
      </c>
      <c r="E5" s="549">
        <f t="shared" si="0"/>
        <v>9.0826521344232521E-3</v>
      </c>
      <c r="F5" s="549">
        <f t="shared" si="0"/>
        <v>1.7013232514177693E-2</v>
      </c>
      <c r="G5" s="549">
        <f t="shared" si="0"/>
        <v>6.2912865681031774E-3</v>
      </c>
      <c r="H5" s="549">
        <f t="shared" si="0"/>
        <v>1.2472017908538535E-2</v>
      </c>
      <c r="I5" s="549">
        <f t="shared" si="0"/>
        <v>1.3040494166094716E-2</v>
      </c>
      <c r="J5" s="549">
        <f t="shared" ref="J5:K5" si="1">J4/J$22</f>
        <v>5.4137664346481052E-3</v>
      </c>
      <c r="K5" s="549">
        <f t="shared" si="1"/>
        <v>1.0405549626467449E-2</v>
      </c>
      <c r="N5" s="704" t="s">
        <v>3</v>
      </c>
      <c r="O5" s="646">
        <v>11</v>
      </c>
      <c r="P5" s="647">
        <v>14</v>
      </c>
      <c r="Q5" s="647">
        <v>2</v>
      </c>
      <c r="R5" s="647">
        <v>15</v>
      </c>
      <c r="S5" s="647">
        <v>13</v>
      </c>
      <c r="T5" s="647">
        <v>12</v>
      </c>
      <c r="U5" s="647">
        <v>6</v>
      </c>
      <c r="V5" s="647">
        <v>6</v>
      </c>
      <c r="W5" s="647">
        <v>3</v>
      </c>
      <c r="X5" s="647">
        <v>14</v>
      </c>
      <c r="Y5" s="647">
        <v>12</v>
      </c>
      <c r="Z5" s="647">
        <v>2</v>
      </c>
      <c r="AA5" s="647">
        <v>11</v>
      </c>
      <c r="AB5" s="647">
        <v>8</v>
      </c>
      <c r="AC5" s="647">
        <v>15</v>
      </c>
      <c r="AD5" s="647">
        <v>15</v>
      </c>
      <c r="AE5" s="647">
        <v>12</v>
      </c>
      <c r="AF5" s="647">
        <v>90</v>
      </c>
      <c r="AG5" s="648">
        <v>46</v>
      </c>
      <c r="AH5" s="649">
        <v>22</v>
      </c>
      <c r="AI5" s="650">
        <v>1</v>
      </c>
      <c r="AJ5" s="706"/>
    </row>
    <row r="6" spans="1:36" s="21" customFormat="1" ht="18.75" customHeight="1" x14ac:dyDescent="0.15">
      <c r="A6" s="968" t="s">
        <v>3</v>
      </c>
      <c r="B6" s="546">
        <f>SUM('6-Ⅱ①'!$O5:$Q5)</f>
        <v>27</v>
      </c>
      <c r="C6" s="546">
        <f>SUM('6-Ⅱ①'!$R5:$S5)</f>
        <v>28</v>
      </c>
      <c r="D6" s="546">
        <f>SUM('6-Ⅱ①'!$T5:$W5)</f>
        <v>27</v>
      </c>
      <c r="E6" s="546">
        <f>SUM('6-Ⅱ①'!$X5:$Z5)</f>
        <v>28</v>
      </c>
      <c r="F6" s="546">
        <f>SUM('6-Ⅱ①'!$AA5:$AB5)</f>
        <v>19</v>
      </c>
      <c r="G6" s="546">
        <f>SUM('6-Ⅱ①'!$AC5:$AE5)</f>
        <v>42</v>
      </c>
      <c r="H6" s="546">
        <f>SUM('6-Ⅱ①'!$AF5)</f>
        <v>90</v>
      </c>
      <c r="I6" s="546">
        <f>SUM('6-Ⅱ①'!$AG5)</f>
        <v>46</v>
      </c>
      <c r="J6" s="546">
        <f>SUM('6-Ⅱ①'!$AH5:$AI5)</f>
        <v>23</v>
      </c>
      <c r="K6" s="547">
        <f>SUM(B6:J6)</f>
        <v>330</v>
      </c>
      <c r="N6" s="704" t="s">
        <v>4</v>
      </c>
      <c r="O6" s="642">
        <v>9</v>
      </c>
      <c r="P6" s="642">
        <v>23</v>
      </c>
      <c r="Q6" s="642">
        <v>20</v>
      </c>
      <c r="R6" s="642">
        <v>20</v>
      </c>
      <c r="S6" s="642">
        <v>25</v>
      </c>
      <c r="T6" s="642">
        <v>15</v>
      </c>
      <c r="U6" s="642">
        <v>11</v>
      </c>
      <c r="V6" s="642">
        <v>15</v>
      </c>
      <c r="W6" s="642">
        <v>10</v>
      </c>
      <c r="X6" s="642">
        <v>23</v>
      </c>
      <c r="Y6" s="642">
        <v>15</v>
      </c>
      <c r="Z6" s="642">
        <v>4</v>
      </c>
      <c r="AA6" s="642">
        <v>20</v>
      </c>
      <c r="AB6" s="642">
        <v>24</v>
      </c>
      <c r="AC6" s="642">
        <v>24</v>
      </c>
      <c r="AD6" s="642">
        <v>33</v>
      </c>
      <c r="AE6" s="642">
        <v>20</v>
      </c>
      <c r="AF6" s="642">
        <v>141</v>
      </c>
      <c r="AG6" s="643">
        <v>53</v>
      </c>
      <c r="AH6" s="644">
        <v>46</v>
      </c>
      <c r="AI6" s="651">
        <v>6</v>
      </c>
      <c r="AJ6" s="705"/>
    </row>
    <row r="7" spans="1:36" s="21" customFormat="1" ht="18.75" customHeight="1" x14ac:dyDescent="0.15">
      <c r="A7" s="970"/>
      <c r="B7" s="549">
        <f t="shared" ref="B7:I7" si="2">B6/B$22</f>
        <v>2.2350993377483443E-2</v>
      </c>
      <c r="C7" s="549">
        <f t="shared" si="2"/>
        <v>2.1806853582554516E-2</v>
      </c>
      <c r="D7" s="549">
        <f t="shared" si="2"/>
        <v>2.1011673151750974E-2</v>
      </c>
      <c r="E7" s="549">
        <f t="shared" si="2"/>
        <v>2.5431425976385105E-2</v>
      </c>
      <c r="F7" s="549">
        <f t="shared" si="2"/>
        <v>1.7958412098298678E-2</v>
      </c>
      <c r="G7" s="549">
        <f t="shared" si="2"/>
        <v>1.3211701793016672E-2</v>
      </c>
      <c r="H7" s="549">
        <f t="shared" si="2"/>
        <v>2.8781579788935082E-2</v>
      </c>
      <c r="I7" s="549">
        <f t="shared" si="2"/>
        <v>3.1571722717913524E-2</v>
      </c>
      <c r="J7" s="549">
        <f t="shared" ref="J7:K7" si="3">J6/J$22</f>
        <v>1.7788089713843776E-2</v>
      </c>
      <c r="K7" s="549">
        <f t="shared" si="3"/>
        <v>2.2011739594450373E-2</v>
      </c>
      <c r="N7" s="704" t="s">
        <v>5</v>
      </c>
      <c r="O7" s="647">
        <v>28</v>
      </c>
      <c r="P7" s="647">
        <v>34</v>
      </c>
      <c r="Q7" s="647">
        <v>36</v>
      </c>
      <c r="R7" s="647">
        <v>49</v>
      </c>
      <c r="S7" s="647">
        <v>42</v>
      </c>
      <c r="T7" s="647">
        <v>54</v>
      </c>
      <c r="U7" s="647">
        <v>30</v>
      </c>
      <c r="V7" s="647">
        <v>29</v>
      </c>
      <c r="W7" s="647">
        <v>25</v>
      </c>
      <c r="X7" s="647">
        <v>70</v>
      </c>
      <c r="Y7" s="647">
        <v>33</v>
      </c>
      <c r="Z7" s="647">
        <v>9</v>
      </c>
      <c r="AA7" s="647">
        <v>36</v>
      </c>
      <c r="AB7" s="647">
        <v>49</v>
      </c>
      <c r="AC7" s="647">
        <v>63</v>
      </c>
      <c r="AD7" s="647">
        <v>68</v>
      </c>
      <c r="AE7" s="647">
        <v>64</v>
      </c>
      <c r="AF7" s="647">
        <v>293</v>
      </c>
      <c r="AG7" s="648">
        <v>133</v>
      </c>
      <c r="AH7" s="649">
        <v>100</v>
      </c>
      <c r="AI7" s="650">
        <v>13</v>
      </c>
      <c r="AJ7" s="706"/>
    </row>
    <row r="8" spans="1:36" s="21" customFormat="1" ht="18.75" customHeight="1" x14ac:dyDescent="0.15">
      <c r="A8" s="968" t="s">
        <v>4</v>
      </c>
      <c r="B8" s="546">
        <f>SUM('6-Ⅱ①'!$O6:$Q6)</f>
        <v>52</v>
      </c>
      <c r="C8" s="546">
        <f>SUM('6-Ⅱ①'!$R6:$S6)</f>
        <v>45</v>
      </c>
      <c r="D8" s="546">
        <f>SUM('6-Ⅱ①'!$T6:$W6)</f>
        <v>51</v>
      </c>
      <c r="E8" s="546">
        <f>SUM('6-Ⅱ①'!$X6:$Z6)</f>
        <v>42</v>
      </c>
      <c r="F8" s="546">
        <f>SUM('6-Ⅱ①'!$AA6:$AB6)</f>
        <v>44</v>
      </c>
      <c r="G8" s="546">
        <f>SUM('6-Ⅱ①'!$AC6:$AE6)</f>
        <v>77</v>
      </c>
      <c r="H8" s="546">
        <f>SUM('6-Ⅱ①'!$AF6)</f>
        <v>141</v>
      </c>
      <c r="I8" s="546">
        <f>SUM('6-Ⅱ①'!$AG6)</f>
        <v>53</v>
      </c>
      <c r="J8" s="546">
        <f>SUM('6-Ⅱ①'!$AH6:$AI6)</f>
        <v>52</v>
      </c>
      <c r="K8" s="547">
        <f>SUM(B8:J8)</f>
        <v>557</v>
      </c>
      <c r="N8" s="704" t="s">
        <v>6</v>
      </c>
      <c r="O8" s="642">
        <v>52</v>
      </c>
      <c r="P8" s="642">
        <v>72</v>
      </c>
      <c r="Q8" s="642">
        <v>69</v>
      </c>
      <c r="R8" s="642">
        <v>101</v>
      </c>
      <c r="S8" s="642">
        <v>86</v>
      </c>
      <c r="T8" s="642">
        <v>84</v>
      </c>
      <c r="U8" s="642">
        <v>68</v>
      </c>
      <c r="V8" s="642">
        <v>59</v>
      </c>
      <c r="W8" s="642">
        <v>47</v>
      </c>
      <c r="X8" s="642">
        <v>129</v>
      </c>
      <c r="Y8" s="642">
        <v>65</v>
      </c>
      <c r="Z8" s="642">
        <v>15</v>
      </c>
      <c r="AA8" s="642">
        <v>78</v>
      </c>
      <c r="AB8" s="642">
        <v>109</v>
      </c>
      <c r="AC8" s="642">
        <v>124</v>
      </c>
      <c r="AD8" s="642">
        <v>146</v>
      </c>
      <c r="AE8" s="642">
        <v>104</v>
      </c>
      <c r="AF8" s="642">
        <v>572</v>
      </c>
      <c r="AG8" s="643">
        <v>214</v>
      </c>
      <c r="AH8" s="644">
        <v>188</v>
      </c>
      <c r="AI8" s="651">
        <v>18</v>
      </c>
      <c r="AJ8" s="705"/>
    </row>
    <row r="9" spans="1:36" s="21" customFormat="1" ht="18.75" customHeight="1" x14ac:dyDescent="0.15">
      <c r="A9" s="970"/>
      <c r="B9" s="549">
        <f t="shared" ref="B9:I9" si="4">B8/B$22</f>
        <v>4.3046357615894038E-2</v>
      </c>
      <c r="C9" s="549">
        <f t="shared" si="4"/>
        <v>3.5046728971962614E-2</v>
      </c>
      <c r="D9" s="549">
        <f t="shared" si="4"/>
        <v>3.9688715953307391E-2</v>
      </c>
      <c r="E9" s="549">
        <f t="shared" si="4"/>
        <v>3.8147138964577658E-2</v>
      </c>
      <c r="F9" s="549">
        <f t="shared" si="4"/>
        <v>4.1587901701323253E-2</v>
      </c>
      <c r="G9" s="549">
        <f t="shared" si="4"/>
        <v>2.4221453287197232E-2</v>
      </c>
      <c r="H9" s="549">
        <f t="shared" si="4"/>
        <v>4.5091141669331626E-2</v>
      </c>
      <c r="I9" s="549">
        <f t="shared" si="4"/>
        <v>3.6376115305422098E-2</v>
      </c>
      <c r="J9" s="549">
        <f t="shared" ref="J9:K9" si="5">J8/J$22</f>
        <v>4.0216550657385927E-2</v>
      </c>
      <c r="K9" s="549">
        <f t="shared" si="5"/>
        <v>3.7153148345784419E-2</v>
      </c>
      <c r="N9" s="704" t="s">
        <v>7</v>
      </c>
      <c r="O9" s="647">
        <v>56</v>
      </c>
      <c r="P9" s="647">
        <v>64</v>
      </c>
      <c r="Q9" s="647">
        <v>62</v>
      </c>
      <c r="R9" s="647">
        <v>112</v>
      </c>
      <c r="S9" s="647">
        <v>78</v>
      </c>
      <c r="T9" s="647">
        <v>66</v>
      </c>
      <c r="U9" s="647">
        <v>32</v>
      </c>
      <c r="V9" s="647">
        <v>55</v>
      </c>
      <c r="W9" s="647">
        <v>40</v>
      </c>
      <c r="X9" s="647">
        <v>136</v>
      </c>
      <c r="Y9" s="647">
        <v>64</v>
      </c>
      <c r="Z9" s="647">
        <v>25</v>
      </c>
      <c r="AA9" s="647">
        <v>69</v>
      </c>
      <c r="AB9" s="647">
        <v>94</v>
      </c>
      <c r="AC9" s="647">
        <v>140</v>
      </c>
      <c r="AD9" s="647">
        <v>204</v>
      </c>
      <c r="AE9" s="647">
        <v>125</v>
      </c>
      <c r="AF9" s="647">
        <v>599</v>
      </c>
      <c r="AG9" s="648">
        <v>242</v>
      </c>
      <c r="AH9" s="649">
        <v>223</v>
      </c>
      <c r="AI9" s="650">
        <v>25</v>
      </c>
      <c r="AJ9" s="706"/>
    </row>
    <row r="10" spans="1:36" s="21" customFormat="1" ht="18.75" customHeight="1" x14ac:dyDescent="0.15">
      <c r="A10" s="968" t="s">
        <v>5</v>
      </c>
      <c r="B10" s="546">
        <f>SUM('6-Ⅱ①'!$O7:$Q7)</f>
        <v>98</v>
      </c>
      <c r="C10" s="546">
        <f>SUM('6-Ⅱ①'!$R7:$S7)</f>
        <v>91</v>
      </c>
      <c r="D10" s="546">
        <f>SUM('6-Ⅱ①'!$T7:$W7)</f>
        <v>138</v>
      </c>
      <c r="E10" s="546">
        <f>SUM('6-Ⅱ①'!$X7:$Z7)</f>
        <v>112</v>
      </c>
      <c r="F10" s="546">
        <f>SUM('6-Ⅱ①'!$AA7:$AB7)</f>
        <v>85</v>
      </c>
      <c r="G10" s="546">
        <f>SUM('6-Ⅱ①'!$AC7:$AE7)</f>
        <v>195</v>
      </c>
      <c r="H10" s="546">
        <f>SUM('6-Ⅱ①'!$AF7)</f>
        <v>293</v>
      </c>
      <c r="I10" s="546">
        <f>SUM('6-Ⅱ①'!$AG7)</f>
        <v>133</v>
      </c>
      <c r="J10" s="546">
        <f>SUM('6-Ⅱ①'!$AH7:$AI7)</f>
        <v>113</v>
      </c>
      <c r="K10" s="547">
        <f>SUM(B10:J10)</f>
        <v>1258</v>
      </c>
      <c r="N10" s="704" t="s">
        <v>8</v>
      </c>
      <c r="O10" s="642">
        <v>91</v>
      </c>
      <c r="P10" s="642">
        <v>114</v>
      </c>
      <c r="Q10" s="642">
        <v>105</v>
      </c>
      <c r="R10" s="642">
        <v>171</v>
      </c>
      <c r="S10" s="642">
        <v>133</v>
      </c>
      <c r="T10" s="642">
        <v>104</v>
      </c>
      <c r="U10" s="642">
        <v>55</v>
      </c>
      <c r="V10" s="642">
        <v>88</v>
      </c>
      <c r="W10" s="642">
        <v>76</v>
      </c>
      <c r="X10" s="642">
        <v>153</v>
      </c>
      <c r="Y10" s="642">
        <v>84</v>
      </c>
      <c r="Z10" s="642">
        <v>22</v>
      </c>
      <c r="AA10" s="642">
        <v>122</v>
      </c>
      <c r="AB10" s="642">
        <v>135</v>
      </c>
      <c r="AC10" s="642">
        <v>253</v>
      </c>
      <c r="AD10" s="642">
        <v>337</v>
      </c>
      <c r="AE10" s="642">
        <v>242</v>
      </c>
      <c r="AF10" s="642">
        <v>749</v>
      </c>
      <c r="AG10" s="643">
        <v>356</v>
      </c>
      <c r="AH10" s="644">
        <v>316</v>
      </c>
      <c r="AI10" s="651">
        <v>22</v>
      </c>
      <c r="AJ10" s="705"/>
    </row>
    <row r="11" spans="1:36" s="21" customFormat="1" ht="18.75" customHeight="1" x14ac:dyDescent="0.15">
      <c r="A11" s="970"/>
      <c r="B11" s="549">
        <f t="shared" ref="B11:I11" si="6">B10/B$22</f>
        <v>8.1125827814569534E-2</v>
      </c>
      <c r="C11" s="549">
        <f t="shared" si="6"/>
        <v>7.0872274143302175E-2</v>
      </c>
      <c r="D11" s="549">
        <f t="shared" si="6"/>
        <v>0.10739299610894941</v>
      </c>
      <c r="E11" s="549">
        <f t="shared" si="6"/>
        <v>0.10172570390554042</v>
      </c>
      <c r="F11" s="549">
        <f t="shared" si="6"/>
        <v>8.0340264650283558E-2</v>
      </c>
      <c r="G11" s="549">
        <f t="shared" si="6"/>
        <v>6.1340044039005975E-2</v>
      </c>
      <c r="H11" s="549">
        <f t="shared" si="6"/>
        <v>9.3700031979533097E-2</v>
      </c>
      <c r="I11" s="549">
        <f t="shared" si="6"/>
        <v>9.1283459162663005E-2</v>
      </c>
      <c r="J11" s="549">
        <f t="shared" ref="J11:K11" si="7">J10/J$22</f>
        <v>8.7393658159319418E-2</v>
      </c>
      <c r="K11" s="549">
        <f t="shared" si="7"/>
        <v>8.3911419423692638E-2</v>
      </c>
      <c r="N11" s="704" t="s">
        <v>9</v>
      </c>
      <c r="O11" s="647">
        <v>85</v>
      </c>
      <c r="P11" s="647">
        <v>113</v>
      </c>
      <c r="Q11" s="647">
        <v>82</v>
      </c>
      <c r="R11" s="647">
        <v>199</v>
      </c>
      <c r="S11" s="647">
        <v>152</v>
      </c>
      <c r="T11" s="647">
        <v>63</v>
      </c>
      <c r="U11" s="647">
        <v>44</v>
      </c>
      <c r="V11" s="647">
        <v>68</v>
      </c>
      <c r="W11" s="647">
        <v>55</v>
      </c>
      <c r="X11" s="647">
        <v>114</v>
      </c>
      <c r="Y11" s="647">
        <v>59</v>
      </c>
      <c r="Z11" s="647">
        <v>15</v>
      </c>
      <c r="AA11" s="647">
        <v>135</v>
      </c>
      <c r="AB11" s="647">
        <v>103</v>
      </c>
      <c r="AC11" s="647">
        <v>225</v>
      </c>
      <c r="AD11" s="647">
        <v>354</v>
      </c>
      <c r="AE11" s="647">
        <v>307</v>
      </c>
      <c r="AF11" s="647">
        <v>562</v>
      </c>
      <c r="AG11" s="648">
        <v>329</v>
      </c>
      <c r="AH11" s="649">
        <v>232</v>
      </c>
      <c r="AI11" s="650">
        <v>18</v>
      </c>
      <c r="AJ11" s="706"/>
    </row>
    <row r="12" spans="1:36" s="21" customFormat="1" ht="18.75" customHeight="1" x14ac:dyDescent="0.15">
      <c r="A12" s="968" t="s">
        <v>6</v>
      </c>
      <c r="B12" s="546">
        <f>SUM('6-Ⅱ①'!$O8:$Q8)</f>
        <v>193</v>
      </c>
      <c r="C12" s="546">
        <f>SUM('6-Ⅱ①'!$R8:$S8)</f>
        <v>187</v>
      </c>
      <c r="D12" s="546">
        <f>SUM('6-Ⅱ①'!$T8:$W8)</f>
        <v>258</v>
      </c>
      <c r="E12" s="546">
        <f>SUM('6-Ⅱ①'!$X8:$Z8)</f>
        <v>209</v>
      </c>
      <c r="F12" s="546">
        <f>SUM('6-Ⅱ①'!$AA8:$AB8)</f>
        <v>187</v>
      </c>
      <c r="G12" s="546">
        <f>SUM('6-Ⅱ①'!$AC8:$AE8)</f>
        <v>374</v>
      </c>
      <c r="H12" s="546">
        <f>SUM('6-Ⅱ①'!$AF8)</f>
        <v>572</v>
      </c>
      <c r="I12" s="546">
        <f>SUM('6-Ⅱ①'!$AG8)</f>
        <v>214</v>
      </c>
      <c r="J12" s="546">
        <f>SUM('6-Ⅱ①'!$AH8:$AI8)</f>
        <v>206</v>
      </c>
      <c r="K12" s="547">
        <f>SUM(B12:J12)</f>
        <v>2400</v>
      </c>
      <c r="N12" s="704" t="s">
        <v>10</v>
      </c>
      <c r="O12" s="642">
        <v>17</v>
      </c>
      <c r="P12" s="642">
        <v>19</v>
      </c>
      <c r="Q12" s="642">
        <v>16</v>
      </c>
      <c r="R12" s="642">
        <v>39</v>
      </c>
      <c r="S12" s="642">
        <v>40</v>
      </c>
      <c r="T12" s="642">
        <v>16</v>
      </c>
      <c r="U12" s="642">
        <v>8</v>
      </c>
      <c r="V12" s="642">
        <v>8</v>
      </c>
      <c r="W12" s="642">
        <v>13</v>
      </c>
      <c r="X12" s="642">
        <v>16</v>
      </c>
      <c r="Y12" s="642">
        <v>7</v>
      </c>
      <c r="Z12" s="642">
        <v>5</v>
      </c>
      <c r="AA12" s="642">
        <v>20</v>
      </c>
      <c r="AB12" s="642">
        <v>27</v>
      </c>
      <c r="AC12" s="642">
        <v>64</v>
      </c>
      <c r="AD12" s="642">
        <v>116</v>
      </c>
      <c r="AE12" s="642">
        <v>104</v>
      </c>
      <c r="AF12" s="642">
        <v>82</v>
      </c>
      <c r="AG12" s="643">
        <v>65</v>
      </c>
      <c r="AH12" s="644">
        <v>56</v>
      </c>
      <c r="AI12" s="651">
        <v>0</v>
      </c>
      <c r="AJ12" s="705"/>
    </row>
    <row r="13" spans="1:36" s="21" customFormat="1" ht="18.75" customHeight="1" x14ac:dyDescent="0.15">
      <c r="A13" s="970"/>
      <c r="B13" s="549">
        <f t="shared" ref="B13:I13" si="8">B12/B$22</f>
        <v>0.15976821192052981</v>
      </c>
      <c r="C13" s="549">
        <f t="shared" si="8"/>
        <v>0.14563862928348908</v>
      </c>
      <c r="D13" s="549">
        <f t="shared" si="8"/>
        <v>0.20077821011673153</v>
      </c>
      <c r="E13" s="549">
        <f t="shared" si="8"/>
        <v>0.18982742960944596</v>
      </c>
      <c r="F13" s="549">
        <f t="shared" si="8"/>
        <v>0.17674858223062381</v>
      </c>
      <c r="G13" s="549">
        <f t="shared" si="8"/>
        <v>0.11764705882352941</v>
      </c>
      <c r="H13" s="549">
        <f t="shared" si="8"/>
        <v>0.18292292932523185</v>
      </c>
      <c r="I13" s="549">
        <f t="shared" si="8"/>
        <v>0.14687714481811942</v>
      </c>
      <c r="J13" s="549">
        <f t="shared" ref="J13:K13" si="9">J12/J$22</f>
        <v>0.15931941221964424</v>
      </c>
      <c r="K13" s="549">
        <f t="shared" si="9"/>
        <v>0.16008537886872998</v>
      </c>
      <c r="N13" s="704"/>
      <c r="O13" s="647"/>
      <c r="P13" s="647"/>
      <c r="Q13" s="647"/>
      <c r="R13" s="647"/>
      <c r="S13" s="647"/>
      <c r="T13" s="647"/>
      <c r="U13" s="647"/>
      <c r="V13" s="647"/>
      <c r="W13" s="647"/>
      <c r="X13" s="647"/>
      <c r="Y13" s="647"/>
      <c r="Z13" s="647"/>
      <c r="AA13" s="647"/>
      <c r="AB13" s="647"/>
      <c r="AC13" s="647"/>
      <c r="AD13" s="647"/>
      <c r="AE13" s="647"/>
      <c r="AF13" s="647"/>
      <c r="AG13" s="648"/>
      <c r="AH13" s="652"/>
      <c r="AI13" s="650"/>
      <c r="AJ13" s="706"/>
    </row>
    <row r="14" spans="1:36" s="21" customFormat="1" ht="18.75" customHeight="1" thickBot="1" x14ac:dyDescent="0.2">
      <c r="A14" s="968" t="s">
        <v>7</v>
      </c>
      <c r="B14" s="546">
        <f>SUM('6-Ⅱ①'!$O9:$Q9)</f>
        <v>182</v>
      </c>
      <c r="C14" s="546">
        <f>SUM('6-Ⅱ①'!$R9:$S9)</f>
        <v>190</v>
      </c>
      <c r="D14" s="546">
        <f>SUM('6-Ⅱ①'!$T9:$W9)</f>
        <v>193</v>
      </c>
      <c r="E14" s="546">
        <f>SUM('6-Ⅱ①'!$X9:$Z9)</f>
        <v>225</v>
      </c>
      <c r="F14" s="546">
        <f>SUM('6-Ⅱ①'!$AA9:$AB9)</f>
        <v>163</v>
      </c>
      <c r="G14" s="546">
        <f>SUM('6-Ⅱ①'!$AC9:$AE9)</f>
        <v>469</v>
      </c>
      <c r="H14" s="546">
        <f>SUM('6-Ⅱ①'!$AF9)</f>
        <v>599</v>
      </c>
      <c r="I14" s="546">
        <f>SUM('6-Ⅱ①'!$AG9)</f>
        <v>242</v>
      </c>
      <c r="J14" s="546">
        <f>SUM('6-Ⅱ①'!$AH9:$AI9)</f>
        <v>248</v>
      </c>
      <c r="K14" s="547">
        <f>SUM(B14:J14)</f>
        <v>2511</v>
      </c>
      <c r="N14" s="707" t="s">
        <v>308</v>
      </c>
      <c r="O14" s="653" t="s">
        <v>588</v>
      </c>
      <c r="P14" s="653" t="s">
        <v>589</v>
      </c>
      <c r="Q14" s="653" t="s">
        <v>590</v>
      </c>
      <c r="R14" s="653" t="s">
        <v>591</v>
      </c>
      <c r="S14" s="653" t="s">
        <v>592</v>
      </c>
      <c r="T14" s="653" t="s">
        <v>593</v>
      </c>
      <c r="U14" s="653" t="s">
        <v>594</v>
      </c>
      <c r="V14" s="653" t="s">
        <v>595</v>
      </c>
      <c r="W14" s="653" t="s">
        <v>596</v>
      </c>
      <c r="X14" s="653" t="s">
        <v>597</v>
      </c>
      <c r="Y14" s="653" t="s">
        <v>598</v>
      </c>
      <c r="Z14" s="653" t="s">
        <v>599</v>
      </c>
      <c r="AA14" s="653" t="s">
        <v>600</v>
      </c>
      <c r="AB14" s="653" t="s">
        <v>601</v>
      </c>
      <c r="AC14" s="653" t="s">
        <v>602</v>
      </c>
      <c r="AD14" s="653" t="s">
        <v>603</v>
      </c>
      <c r="AE14" s="653" t="s">
        <v>604</v>
      </c>
      <c r="AF14" s="653" t="s">
        <v>605</v>
      </c>
      <c r="AG14" s="653" t="s">
        <v>606</v>
      </c>
      <c r="AH14" s="578" t="s">
        <v>607</v>
      </c>
      <c r="AI14" s="651" t="s">
        <v>608</v>
      </c>
      <c r="AJ14" s="705" t="s">
        <v>609</v>
      </c>
    </row>
    <row r="15" spans="1:36" s="21" customFormat="1" ht="18.75" customHeight="1" thickTop="1" thickBot="1" x14ac:dyDescent="0.2">
      <c r="A15" s="970"/>
      <c r="B15" s="549">
        <f t="shared" ref="B15:I15" si="10">B14/B$22</f>
        <v>0.15066225165562913</v>
      </c>
      <c r="C15" s="549">
        <f t="shared" si="10"/>
        <v>0.14797507788161993</v>
      </c>
      <c r="D15" s="549">
        <f t="shared" si="10"/>
        <v>0.15019455252918287</v>
      </c>
      <c r="E15" s="549">
        <f t="shared" si="10"/>
        <v>0.20435967302452315</v>
      </c>
      <c r="F15" s="549">
        <f t="shared" si="10"/>
        <v>0.15406427221172023</v>
      </c>
      <c r="G15" s="549">
        <f t="shared" si="10"/>
        <v>0.1475306700220195</v>
      </c>
      <c r="H15" s="549">
        <f t="shared" si="10"/>
        <v>0.19155740326191237</v>
      </c>
      <c r="I15" s="549">
        <f t="shared" si="10"/>
        <v>0.16609471516815374</v>
      </c>
      <c r="J15" s="549">
        <f t="shared" ref="J15:K15" si="11">J14/J$22</f>
        <v>0.19180201082753287</v>
      </c>
      <c r="K15" s="549">
        <f t="shared" si="11"/>
        <v>0.16748932764140875</v>
      </c>
      <c r="N15" s="704" t="s">
        <v>156</v>
      </c>
      <c r="O15" s="654">
        <v>135</v>
      </c>
      <c r="P15" s="655">
        <v>181</v>
      </c>
      <c r="Q15" s="648">
        <v>169</v>
      </c>
      <c r="R15" s="648">
        <v>246</v>
      </c>
      <c r="S15" s="648">
        <v>205</v>
      </c>
      <c r="T15" s="648">
        <v>210</v>
      </c>
      <c r="U15" s="648">
        <v>136</v>
      </c>
      <c r="V15" s="648">
        <v>137</v>
      </c>
      <c r="W15" s="648">
        <v>109</v>
      </c>
      <c r="X15" s="648">
        <v>311</v>
      </c>
      <c r="Y15" s="648">
        <v>158</v>
      </c>
      <c r="Z15" s="648">
        <v>48</v>
      </c>
      <c r="AA15" s="648">
        <v>185</v>
      </c>
      <c r="AB15" s="648">
        <v>246</v>
      </c>
      <c r="AC15" s="648">
        <v>295</v>
      </c>
      <c r="AD15" s="648">
        <v>372</v>
      </c>
      <c r="AE15" s="648">
        <v>262</v>
      </c>
      <c r="AF15" s="648">
        <v>1427</v>
      </c>
      <c r="AG15" s="648">
        <v>592</v>
      </c>
      <c r="AH15" s="649">
        <v>461</v>
      </c>
      <c r="AI15" s="650">
        <v>50</v>
      </c>
      <c r="AJ15" s="706"/>
    </row>
    <row r="16" spans="1:36" s="21" customFormat="1" ht="18.75" customHeight="1" thickTop="1" x14ac:dyDescent="0.15">
      <c r="A16" s="968" t="s">
        <v>8</v>
      </c>
      <c r="B16" s="546">
        <f>SUM('6-Ⅱ①'!$O10:$Q10)</f>
        <v>310</v>
      </c>
      <c r="C16" s="546">
        <f>SUM('6-Ⅱ①'!$R10:$S10)</f>
        <v>304</v>
      </c>
      <c r="D16" s="546">
        <f>SUM('6-Ⅱ①'!$T10:$W10)</f>
        <v>323</v>
      </c>
      <c r="E16" s="546">
        <f>SUM('6-Ⅱ①'!$X10:$Z10)</f>
        <v>259</v>
      </c>
      <c r="F16" s="546">
        <f>SUM('6-Ⅱ①'!$AA10:$AB10)</f>
        <v>257</v>
      </c>
      <c r="G16" s="546">
        <f>SUM('6-Ⅱ①'!$AC10:$AE10)</f>
        <v>832</v>
      </c>
      <c r="H16" s="546">
        <f>SUM('6-Ⅱ①'!$AF10)</f>
        <v>749</v>
      </c>
      <c r="I16" s="546">
        <f>SUM('6-Ⅱ①'!$AG10)</f>
        <v>356</v>
      </c>
      <c r="J16" s="546">
        <f>SUM('6-Ⅱ①'!$AH10:$AI10)</f>
        <v>338</v>
      </c>
      <c r="K16" s="547">
        <f>SUM(B16:J16)</f>
        <v>3728</v>
      </c>
      <c r="N16" s="704" t="s">
        <v>265</v>
      </c>
      <c r="O16" s="654">
        <v>218</v>
      </c>
      <c r="P16" s="643">
        <v>277</v>
      </c>
      <c r="Q16" s="643">
        <v>228</v>
      </c>
      <c r="R16" s="643">
        <v>463</v>
      </c>
      <c r="S16" s="643">
        <v>370</v>
      </c>
      <c r="T16" s="643">
        <v>211</v>
      </c>
      <c r="U16" s="643">
        <v>122</v>
      </c>
      <c r="V16" s="643">
        <v>193</v>
      </c>
      <c r="W16" s="643">
        <v>167</v>
      </c>
      <c r="X16" s="643">
        <v>350</v>
      </c>
      <c r="Y16" s="643">
        <v>182</v>
      </c>
      <c r="Z16" s="643">
        <v>52</v>
      </c>
      <c r="AA16" s="643">
        <v>314</v>
      </c>
      <c r="AB16" s="643">
        <v>313</v>
      </c>
      <c r="AC16" s="643">
        <v>616</v>
      </c>
      <c r="AD16" s="643">
        <v>911</v>
      </c>
      <c r="AE16" s="643">
        <v>723</v>
      </c>
      <c r="AF16" s="643">
        <v>1700</v>
      </c>
      <c r="AG16" s="643">
        <v>865</v>
      </c>
      <c r="AH16" s="644">
        <v>729</v>
      </c>
      <c r="AI16" s="651">
        <v>53</v>
      </c>
      <c r="AJ16" s="705"/>
    </row>
    <row r="17" spans="1:36" s="21" customFormat="1" ht="18.75" customHeight="1" x14ac:dyDescent="0.15">
      <c r="A17" s="970"/>
      <c r="B17" s="549">
        <f t="shared" ref="B17:I17" si="12">B16/B$22</f>
        <v>0.25662251655629137</v>
      </c>
      <c r="C17" s="549">
        <f t="shared" si="12"/>
        <v>0.2367601246105919</v>
      </c>
      <c r="D17" s="549">
        <f t="shared" si="12"/>
        <v>0.25136186770428015</v>
      </c>
      <c r="E17" s="549">
        <f t="shared" si="12"/>
        <v>0.23524069028156222</v>
      </c>
      <c r="F17" s="549">
        <f t="shared" si="12"/>
        <v>0.24291115311909262</v>
      </c>
      <c r="G17" s="549">
        <f t="shared" si="12"/>
        <v>0.26171752123309217</v>
      </c>
      <c r="H17" s="549">
        <f t="shared" si="12"/>
        <v>0.2395267029101375</v>
      </c>
      <c r="I17" s="549">
        <f t="shared" si="12"/>
        <v>0.24433768016472204</v>
      </c>
      <c r="J17" s="549">
        <f t="shared" ref="J17:K17" si="13">J16/J$22</f>
        <v>0.26140757927300851</v>
      </c>
      <c r="K17" s="549">
        <f t="shared" si="13"/>
        <v>0.24866595517609391</v>
      </c>
      <c r="AJ17" s="617"/>
    </row>
    <row r="18" spans="1:36" s="21" customFormat="1" ht="18.75" customHeight="1" x14ac:dyDescent="0.15">
      <c r="A18" s="968" t="s">
        <v>9</v>
      </c>
      <c r="B18" s="546">
        <f>SUM('6-Ⅱ①'!$O11:$Q11)</f>
        <v>280</v>
      </c>
      <c r="C18" s="546">
        <f>SUM('6-Ⅱ①'!$R11:$S11)</f>
        <v>351</v>
      </c>
      <c r="D18" s="546">
        <f>SUM('6-Ⅱ①'!$T11:$W11)</f>
        <v>230</v>
      </c>
      <c r="E18" s="546">
        <f>SUM('6-Ⅱ①'!$X11:$Z11)</f>
        <v>188</v>
      </c>
      <c r="F18" s="546">
        <f>SUM('6-Ⅱ①'!$AA11:$AB11)</f>
        <v>238</v>
      </c>
      <c r="G18" s="546">
        <f>SUM('6-Ⅱ①'!$AC11:$AE11)</f>
        <v>886</v>
      </c>
      <c r="H18" s="546">
        <f>SUM('6-Ⅱ①'!$AF11)</f>
        <v>562</v>
      </c>
      <c r="I18" s="546">
        <f>SUM('6-Ⅱ①'!$AG11)</f>
        <v>329</v>
      </c>
      <c r="J18" s="546">
        <f>SUM('6-Ⅱ①'!$AH11:$AI11)</f>
        <v>250</v>
      </c>
      <c r="K18" s="547">
        <f>SUM(B18:J18)</f>
        <v>3314</v>
      </c>
      <c r="AJ18" s="617"/>
    </row>
    <row r="19" spans="1:36" s="21" customFormat="1" ht="18.75" customHeight="1" x14ac:dyDescent="0.15">
      <c r="A19" s="970"/>
      <c r="B19" s="549">
        <f t="shared" ref="B19:I19" si="14">B18/B$22</f>
        <v>0.23178807947019867</v>
      </c>
      <c r="C19" s="549">
        <f t="shared" si="14"/>
        <v>0.27336448598130841</v>
      </c>
      <c r="D19" s="549">
        <f t="shared" si="14"/>
        <v>0.17898832684824903</v>
      </c>
      <c r="E19" s="549">
        <f t="shared" si="14"/>
        <v>0.17075386012715713</v>
      </c>
      <c r="F19" s="549">
        <f t="shared" si="14"/>
        <v>0.22495274102079396</v>
      </c>
      <c r="G19" s="549">
        <f t="shared" si="14"/>
        <v>0.27870399496697074</v>
      </c>
      <c r="H19" s="549">
        <f t="shared" si="14"/>
        <v>0.17972497601535017</v>
      </c>
      <c r="I19" s="549">
        <f t="shared" si="14"/>
        <v>0.22580645161290322</v>
      </c>
      <c r="J19" s="549">
        <f t="shared" ref="J19:K19" si="15">J18/J$22</f>
        <v>0.19334880123743234</v>
      </c>
      <c r="K19" s="549">
        <f t="shared" si="15"/>
        <v>0.221051227321238</v>
      </c>
      <c r="AJ19" s="617"/>
    </row>
    <row r="20" spans="1:36" s="21" customFormat="1" ht="18.75" customHeight="1" x14ac:dyDescent="0.15">
      <c r="A20" s="968" t="s">
        <v>10</v>
      </c>
      <c r="B20" s="546">
        <f>SUM('6-Ⅱ①'!$O12:$Q12)</f>
        <v>52</v>
      </c>
      <c r="C20" s="546">
        <f>SUM('6-Ⅱ①'!$R12:$S12)</f>
        <v>79</v>
      </c>
      <c r="D20" s="546">
        <f>SUM('6-Ⅱ①'!$T12:$W12)</f>
        <v>45</v>
      </c>
      <c r="E20" s="546">
        <f>SUM('6-Ⅱ①'!$X12:$Z12)</f>
        <v>28</v>
      </c>
      <c r="F20" s="546">
        <f>SUM('6-Ⅱ①'!$AA12:$AB12)</f>
        <v>47</v>
      </c>
      <c r="G20" s="546">
        <f>SUM('6-Ⅱ①'!$AC12:$AE12)</f>
        <v>284</v>
      </c>
      <c r="H20" s="546">
        <f>SUM('6-Ⅱ①'!$AF12)</f>
        <v>82</v>
      </c>
      <c r="I20" s="546">
        <f>SUM('6-Ⅱ①'!$AG12)</f>
        <v>65</v>
      </c>
      <c r="J20" s="546">
        <f>SUM('6-Ⅱ①'!$AH12:$AI12)</f>
        <v>56</v>
      </c>
      <c r="K20" s="547">
        <f>SUM(B20:J20)</f>
        <v>738</v>
      </c>
      <c r="AJ20" s="617"/>
    </row>
    <row r="21" spans="1:36" s="21" customFormat="1" ht="18.75" customHeight="1" x14ac:dyDescent="0.15">
      <c r="A21" s="970"/>
      <c r="B21" s="549">
        <f t="shared" ref="B21:I21" si="16">B20/B$22</f>
        <v>4.3046357615894038E-2</v>
      </c>
      <c r="C21" s="549">
        <f t="shared" si="16"/>
        <v>6.1526479750778816E-2</v>
      </c>
      <c r="D21" s="549">
        <f t="shared" si="16"/>
        <v>3.5019455252918288E-2</v>
      </c>
      <c r="E21" s="549">
        <f t="shared" si="16"/>
        <v>2.5431425976385105E-2</v>
      </c>
      <c r="F21" s="549">
        <f t="shared" si="16"/>
        <v>4.4423440453686201E-2</v>
      </c>
      <c r="G21" s="549">
        <f t="shared" si="16"/>
        <v>8.9336269267065116E-2</v>
      </c>
      <c r="H21" s="549">
        <f t="shared" si="16"/>
        <v>2.622321714102974E-2</v>
      </c>
      <c r="I21" s="549">
        <f t="shared" si="16"/>
        <v>4.4612216884008238E-2</v>
      </c>
      <c r="J21" s="549">
        <f t="shared" ref="J21:K21" si="17">J20/J$22</f>
        <v>4.3310131477184842E-2</v>
      </c>
      <c r="K21" s="549">
        <f t="shared" si="17"/>
        <v>4.922625400213447E-2</v>
      </c>
      <c r="AJ21" s="617"/>
    </row>
    <row r="22" spans="1:36" s="21" customFormat="1" ht="18.75" customHeight="1" x14ac:dyDescent="0.15">
      <c r="A22" s="572" t="s">
        <v>11</v>
      </c>
      <c r="B22" s="573">
        <f>B4+B6+B8+B10+B12+B14+B16+B18+B20</f>
        <v>1208</v>
      </c>
      <c r="C22" s="573">
        <f t="shared" ref="C22:J22" si="18">C4+C6+C8+C10+C12+C14+C16+C18+C20</f>
        <v>1284</v>
      </c>
      <c r="D22" s="573">
        <f t="shared" si="18"/>
        <v>1285</v>
      </c>
      <c r="E22" s="573">
        <f t="shared" si="18"/>
        <v>1101</v>
      </c>
      <c r="F22" s="573">
        <f t="shared" si="18"/>
        <v>1058</v>
      </c>
      <c r="G22" s="573">
        <f t="shared" si="18"/>
        <v>3179</v>
      </c>
      <c r="H22" s="573">
        <f t="shared" si="18"/>
        <v>3127</v>
      </c>
      <c r="I22" s="573">
        <f t="shared" si="18"/>
        <v>1457</v>
      </c>
      <c r="J22" s="573">
        <f t="shared" si="18"/>
        <v>1293</v>
      </c>
      <c r="K22" s="574">
        <f>SUM(B22:J22)</f>
        <v>14992</v>
      </c>
    </row>
    <row r="23" spans="1:36" s="21" customFormat="1" ht="18.75" customHeight="1" x14ac:dyDescent="0.15">
      <c r="A23" s="575"/>
      <c r="B23" s="576">
        <f t="shared" ref="B23:I23" si="19">SUM(B5,B7,B9,B11,B13,B15,B17,B19,B21)</f>
        <v>1</v>
      </c>
      <c r="C23" s="576">
        <f t="shared" si="19"/>
        <v>1</v>
      </c>
      <c r="D23" s="576">
        <f t="shared" si="19"/>
        <v>1</v>
      </c>
      <c r="E23" s="576">
        <f t="shared" si="19"/>
        <v>1</v>
      </c>
      <c r="F23" s="576">
        <f t="shared" si="19"/>
        <v>1</v>
      </c>
      <c r="G23" s="576">
        <f t="shared" si="19"/>
        <v>1</v>
      </c>
      <c r="H23" s="576">
        <f t="shared" si="19"/>
        <v>0.99999999999999989</v>
      </c>
      <c r="I23" s="576">
        <f t="shared" si="19"/>
        <v>1</v>
      </c>
      <c r="J23" s="576">
        <f t="shared" ref="J23:K23" si="20">SUM(J5,J7,J9,J11,J13,J15,J17,J19,J21)</f>
        <v>1</v>
      </c>
      <c r="K23" s="576">
        <f t="shared" si="20"/>
        <v>1</v>
      </c>
    </row>
    <row r="24" spans="1:36" ht="18.75" customHeight="1" x14ac:dyDescent="0.15">
      <c r="A24" s="989" t="s">
        <v>90</v>
      </c>
      <c r="B24" s="547">
        <f>SUM('6-Ⅱ①'!$O15:$Q15)</f>
        <v>485</v>
      </c>
      <c r="C24" s="547">
        <f>SUM('6-Ⅱ①'!$R15:$S15)</f>
        <v>451</v>
      </c>
      <c r="D24" s="547">
        <f>SUM('6-Ⅱ①'!$T15:$W15)</f>
        <v>592</v>
      </c>
      <c r="E24" s="547">
        <f>SUM('6-Ⅱ①'!$X15:$Z15)</f>
        <v>517</v>
      </c>
      <c r="F24" s="547">
        <f>SUM('6-Ⅱ①'!$AA15:$AB15)</f>
        <v>431</v>
      </c>
      <c r="G24" s="547">
        <f>SUM('6-Ⅱ①'!$AC15:$AE15)</f>
        <v>929</v>
      </c>
      <c r="H24" s="547">
        <f>SUM('6-Ⅱ①'!$AF15)</f>
        <v>1427</v>
      </c>
      <c r="I24" s="547">
        <f>SUM('6-Ⅱ①'!$AG15)</f>
        <v>592</v>
      </c>
      <c r="J24" s="547">
        <f>SUM('6-Ⅱ①'!$AH15:$AI15)</f>
        <v>511</v>
      </c>
      <c r="K24" s="547">
        <f>SUM(B24:J24)</f>
        <v>5935</v>
      </c>
    </row>
    <row r="25" spans="1:36" ht="18.75" customHeight="1" x14ac:dyDescent="0.15">
      <c r="A25" s="990"/>
      <c r="B25" s="553">
        <f t="shared" ref="B25:I25" si="21">B24/B$22</f>
        <v>0.40149006622516559</v>
      </c>
      <c r="C25" s="553">
        <f t="shared" si="21"/>
        <v>0.35124610591900313</v>
      </c>
      <c r="D25" s="553">
        <f t="shared" si="21"/>
        <v>0.46070038910505834</v>
      </c>
      <c r="E25" s="553">
        <f t="shared" si="21"/>
        <v>0.4695731153496821</v>
      </c>
      <c r="F25" s="553">
        <f t="shared" si="21"/>
        <v>0.40737240075614367</v>
      </c>
      <c r="G25" s="553">
        <f t="shared" si="21"/>
        <v>0.29223026108839256</v>
      </c>
      <c r="H25" s="553">
        <f t="shared" si="21"/>
        <v>0.45634793732011514</v>
      </c>
      <c r="I25" s="553">
        <f t="shared" si="21"/>
        <v>0.40631434454358273</v>
      </c>
      <c r="J25" s="553">
        <f t="shared" ref="J25:K25" si="22">J24/J$22</f>
        <v>0.39520494972931169</v>
      </c>
      <c r="K25" s="553">
        <f t="shared" si="22"/>
        <v>0.39587780149413021</v>
      </c>
    </row>
    <row r="26" spans="1:36" ht="18.75" customHeight="1" x14ac:dyDescent="0.15">
      <c r="A26" s="989" t="s">
        <v>91</v>
      </c>
      <c r="B26" s="546">
        <f>SUM('6-Ⅱ①'!$O16:$Q16)</f>
        <v>723</v>
      </c>
      <c r="C26" s="546">
        <f>SUM('6-Ⅱ①'!$R16:$S16)</f>
        <v>833</v>
      </c>
      <c r="D26" s="546">
        <f>SUM('6-Ⅱ①'!$T16:$W16)</f>
        <v>693</v>
      </c>
      <c r="E26" s="546">
        <f>SUM('6-Ⅱ①'!$X16:$Z16)</f>
        <v>584</v>
      </c>
      <c r="F26" s="546">
        <f>SUM('6-Ⅱ①'!$AA16:$AB16)</f>
        <v>627</v>
      </c>
      <c r="G26" s="546">
        <f>SUM('6-Ⅱ①'!$AC16:$AE16)</f>
        <v>2250</v>
      </c>
      <c r="H26" s="546">
        <f>SUM('6-Ⅱ①'!$AF16)</f>
        <v>1700</v>
      </c>
      <c r="I26" s="546">
        <f>SUM('6-Ⅱ①'!$AG16)</f>
        <v>865</v>
      </c>
      <c r="J26" s="546">
        <f>SUM('6-Ⅱ①'!$AH16:$AI16)</f>
        <v>782</v>
      </c>
      <c r="K26" s="547">
        <f>SUM(B26:J26)</f>
        <v>9057</v>
      </c>
    </row>
    <row r="27" spans="1:36" ht="18.75" customHeight="1" x14ac:dyDescent="0.15">
      <c r="A27" s="990"/>
      <c r="B27" s="553">
        <f t="shared" ref="B27:I27" si="23">B26/B$22</f>
        <v>0.59850993377483441</v>
      </c>
      <c r="C27" s="553">
        <f t="shared" si="23"/>
        <v>0.64875389408099693</v>
      </c>
      <c r="D27" s="553">
        <f t="shared" si="23"/>
        <v>0.53929961089494161</v>
      </c>
      <c r="E27" s="553">
        <f t="shared" si="23"/>
        <v>0.53042688465031784</v>
      </c>
      <c r="F27" s="553">
        <f t="shared" si="23"/>
        <v>0.59262759924385633</v>
      </c>
      <c r="G27" s="553">
        <f t="shared" si="23"/>
        <v>0.70776973891160744</v>
      </c>
      <c r="H27" s="553">
        <f t="shared" si="23"/>
        <v>0.54365206267988486</v>
      </c>
      <c r="I27" s="553">
        <f t="shared" si="23"/>
        <v>0.59368565545641727</v>
      </c>
      <c r="J27" s="553">
        <f t="shared" ref="J27:K27" si="24">J26/J$22</f>
        <v>0.60479505027068836</v>
      </c>
      <c r="K27" s="553">
        <f t="shared" si="24"/>
        <v>0.60412219850586979</v>
      </c>
    </row>
    <row r="29" spans="1:36" x14ac:dyDescent="0.15">
      <c r="A29" s="53"/>
    </row>
  </sheetData>
  <mergeCells count="11">
    <mergeCell ref="A16:A17"/>
    <mergeCell ref="A18:A19"/>
    <mergeCell ref="A20:A21"/>
    <mergeCell ref="A24:A25"/>
    <mergeCell ref="A26:A27"/>
    <mergeCell ref="A14:A15"/>
    <mergeCell ref="A4:A5"/>
    <mergeCell ref="A6:A7"/>
    <mergeCell ref="A8:A9"/>
    <mergeCell ref="A10:A11"/>
    <mergeCell ref="A12:A13"/>
  </mergeCells>
  <phoneticPr fontId="2"/>
  <printOptions horizontalCentered="1"/>
  <pageMargins left="0.70866141732283472" right="0.70866141732283472" top="0.74803149606299213" bottom="0.74803149606299213" header="0.31496062992125984" footer="0.31496062992125984"/>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3009" r:id="rId4" name="Button 1">
              <controlPr defaultSize="0" print="0" autoFill="0" autoPict="0" macro="[0]!データ削除_年齢区分入院時住所地">
                <anchor moveWithCells="1" sizeWithCells="1">
                  <from>
                    <xdr:col>11</xdr:col>
                    <xdr:colOff>542925</xdr:colOff>
                    <xdr:row>21</xdr:row>
                    <xdr:rowOff>114300</xdr:rowOff>
                  </from>
                  <to>
                    <xdr:col>14</xdr:col>
                    <xdr:colOff>914400</xdr:colOff>
                    <xdr:row>23</xdr:row>
                    <xdr:rowOff>133350</xdr:rowOff>
                  </to>
                </anchor>
              </controlPr>
            </control>
          </mc:Choice>
        </mc:AlternateContent>
      </controls>
    </mc:Choice>
  </mc:AlternateContent>
  <tableParts count="2">
    <tablePart r:id="rId5"/>
    <tablePart r:id="rId6"/>
  </tableParts>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9">
    <tabColor theme="5" tint="0.39997558519241921"/>
    <pageSetUpPr fitToPage="1"/>
  </sheetPr>
  <dimension ref="A1:AI28"/>
  <sheetViews>
    <sheetView showGridLines="0" view="pageBreakPreview" topLeftCell="C1" zoomScale="90" zoomScaleNormal="80" zoomScaleSheetLayoutView="90" workbookViewId="0">
      <selection activeCell="M1" sqref="M1:AI1048576"/>
    </sheetView>
  </sheetViews>
  <sheetFormatPr defaultColWidth="13.75" defaultRowHeight="18.75" x14ac:dyDescent="0.15"/>
  <cols>
    <col min="1" max="1" width="13.75" style="537" customWidth="1"/>
    <col min="2" max="11" width="8.625" style="537" customWidth="1"/>
    <col min="12" max="12" width="7.625" style="537" customWidth="1"/>
    <col min="13" max="13" width="10" style="537" hidden="1" customWidth="1"/>
    <col min="14" max="14" width="10.75" style="537" hidden="1" customWidth="1"/>
    <col min="15" max="16" width="12.5" style="537" hidden="1" customWidth="1"/>
    <col min="17" max="17" width="8.875" style="537" hidden="1" customWidth="1"/>
    <col min="18" max="18" width="12.5" style="537" hidden="1" customWidth="1"/>
    <col min="19" max="19" width="14.25" style="537" hidden="1" customWidth="1"/>
    <col min="20" max="20" width="16.125" style="537" hidden="1" customWidth="1"/>
    <col min="21" max="22" width="12.5" style="537" hidden="1" customWidth="1"/>
    <col min="23" max="23" width="16.125" style="537" hidden="1" customWidth="1"/>
    <col min="24" max="24" width="14.25" style="537" hidden="1" customWidth="1"/>
    <col min="25" max="27" width="12.5" style="537" hidden="1" customWidth="1"/>
    <col min="28" max="31" width="10.75" style="537" hidden="1" customWidth="1"/>
    <col min="32" max="32" width="8.875" style="537" hidden="1" customWidth="1"/>
    <col min="33" max="33" width="10.75" style="537" hidden="1" customWidth="1"/>
    <col min="34" max="34" width="14.25" style="537" hidden="1" customWidth="1"/>
    <col min="35" max="35" width="9.5" style="537" hidden="1" customWidth="1"/>
    <col min="36" max="36" width="13.75" style="537" customWidth="1"/>
    <col min="37" max="16384" width="13.75" style="537"/>
  </cols>
  <sheetData>
    <row r="1" spans="1:35" s="3" customFormat="1" ht="19.5" x14ac:dyDescent="0.15">
      <c r="A1" s="2" t="s">
        <v>466</v>
      </c>
    </row>
    <row r="2" spans="1:35" ht="19.5" thickBot="1" x14ac:dyDescent="0.2">
      <c r="A2" s="4"/>
    </row>
    <row r="3" spans="1:35" ht="39" thickTop="1" thickBot="1" x14ac:dyDescent="0.2">
      <c r="A3" s="545"/>
      <c r="B3" s="545" t="s">
        <v>387</v>
      </c>
      <c r="C3" s="545" t="s">
        <v>388</v>
      </c>
      <c r="D3" s="545" t="s">
        <v>389</v>
      </c>
      <c r="E3" s="545" t="s">
        <v>390</v>
      </c>
      <c r="F3" s="545" t="s">
        <v>391</v>
      </c>
      <c r="G3" s="545" t="s">
        <v>392</v>
      </c>
      <c r="H3" s="545" t="s">
        <v>393</v>
      </c>
      <c r="I3" s="545" t="s">
        <v>394</v>
      </c>
      <c r="J3" s="571" t="s">
        <v>465</v>
      </c>
      <c r="K3" s="545" t="s">
        <v>62</v>
      </c>
      <c r="M3" s="734" t="s">
        <v>373</v>
      </c>
      <c r="N3" s="710" t="s">
        <v>395</v>
      </c>
      <c r="O3" s="710" t="s">
        <v>396</v>
      </c>
      <c r="P3" s="710" t="s">
        <v>397</v>
      </c>
      <c r="Q3" s="710" t="s">
        <v>398</v>
      </c>
      <c r="R3" s="710" t="s">
        <v>399</v>
      </c>
      <c r="S3" s="710" t="s">
        <v>400</v>
      </c>
      <c r="T3" s="710" t="s">
        <v>401</v>
      </c>
      <c r="U3" s="710" t="s">
        <v>402</v>
      </c>
      <c r="V3" s="710" t="s">
        <v>403</v>
      </c>
      <c r="W3" s="710" t="s">
        <v>404</v>
      </c>
      <c r="X3" s="710" t="s">
        <v>565</v>
      </c>
      <c r="Y3" s="710" t="s">
        <v>566</v>
      </c>
      <c r="Z3" s="710" t="s">
        <v>567</v>
      </c>
      <c r="AA3" s="710" t="s">
        <v>568</v>
      </c>
      <c r="AB3" s="710" t="s">
        <v>569</v>
      </c>
      <c r="AC3" s="710" t="s">
        <v>570</v>
      </c>
      <c r="AD3" s="710" t="s">
        <v>571</v>
      </c>
      <c r="AE3" s="710" t="s">
        <v>572</v>
      </c>
      <c r="AF3" s="710" t="s">
        <v>573</v>
      </c>
      <c r="AG3" s="710" t="s">
        <v>620</v>
      </c>
      <c r="AH3" s="711" t="s">
        <v>621</v>
      </c>
      <c r="AI3" s="710" t="s">
        <v>609</v>
      </c>
    </row>
    <row r="4" spans="1:35" s="21" customFormat="1" ht="18.75" customHeight="1" thickTop="1" x14ac:dyDescent="0.15">
      <c r="A4" s="554" t="s">
        <v>406</v>
      </c>
      <c r="B4" s="546">
        <f>SUM(N4:P5)</f>
        <v>8</v>
      </c>
      <c r="C4" s="546">
        <f>SUM(Q4:R5)</f>
        <v>3</v>
      </c>
      <c r="D4" s="546">
        <f>SUM(S4:V5)</f>
        <v>7</v>
      </c>
      <c r="E4" s="546">
        <f>SUM(W4:Y5)</f>
        <v>9</v>
      </c>
      <c r="F4" s="546">
        <f>SUM(Z4:AA5)</f>
        <v>7</v>
      </c>
      <c r="G4" s="546">
        <f>SUM(AB4:AD5)</f>
        <v>6</v>
      </c>
      <c r="H4" s="546">
        <f>SUM(AE4:AE5)</f>
        <v>29</v>
      </c>
      <c r="I4" s="546">
        <f>SUM(AF4:AF5)</f>
        <v>15</v>
      </c>
      <c r="J4" s="546">
        <f>SUM(AG4:AH5)</f>
        <v>9</v>
      </c>
      <c r="K4" s="547">
        <f>SUM(B4:J4)</f>
        <v>93</v>
      </c>
      <c r="M4" s="733" t="s">
        <v>613</v>
      </c>
      <c r="N4" s="660">
        <v>2</v>
      </c>
      <c r="O4" s="660">
        <v>3</v>
      </c>
      <c r="P4" s="660">
        <v>3</v>
      </c>
      <c r="Q4" s="660">
        <v>3</v>
      </c>
      <c r="R4" s="660"/>
      <c r="S4" s="660">
        <v>3</v>
      </c>
      <c r="T4" s="660">
        <v>1</v>
      </c>
      <c r="U4" s="660">
        <v>2</v>
      </c>
      <c r="V4" s="660">
        <v>1</v>
      </c>
      <c r="W4" s="660">
        <v>5</v>
      </c>
      <c r="X4" s="660">
        <v>2</v>
      </c>
      <c r="Y4" s="660">
        <v>2</v>
      </c>
      <c r="Z4" s="660">
        <v>4</v>
      </c>
      <c r="AA4" s="660">
        <v>3</v>
      </c>
      <c r="AB4" s="660">
        <v>3</v>
      </c>
      <c r="AC4" s="660">
        <v>2</v>
      </c>
      <c r="AD4" s="660">
        <v>1</v>
      </c>
      <c r="AE4" s="660">
        <v>29</v>
      </c>
      <c r="AF4" s="660">
        <v>14</v>
      </c>
      <c r="AG4" s="660">
        <v>5</v>
      </c>
      <c r="AH4" s="661">
        <v>4</v>
      </c>
      <c r="AI4" s="660"/>
    </row>
    <row r="5" spans="1:35" s="21" customFormat="1" ht="18.75" customHeight="1" x14ac:dyDescent="0.15">
      <c r="A5" s="556" t="s">
        <v>374</v>
      </c>
      <c r="B5" s="549">
        <f t="shared" ref="B5:I5" si="0">B4/B$14</f>
        <v>6.6225165562913907E-3</v>
      </c>
      <c r="C5" s="549">
        <f t="shared" si="0"/>
        <v>2.3364485981308409E-3</v>
      </c>
      <c r="D5" s="549">
        <f t="shared" si="0"/>
        <v>5.4474708171206223E-3</v>
      </c>
      <c r="E5" s="549">
        <f t="shared" si="0"/>
        <v>8.1743869209809257E-3</v>
      </c>
      <c r="F5" s="549">
        <f t="shared" si="0"/>
        <v>6.6162570888468808E-3</v>
      </c>
      <c r="G5" s="549">
        <f t="shared" si="0"/>
        <v>1.8873859704309531E-3</v>
      </c>
      <c r="H5" s="549">
        <f t="shared" si="0"/>
        <v>9.2740645986568605E-3</v>
      </c>
      <c r="I5" s="549">
        <f t="shared" si="0"/>
        <v>1.029512697323267E-2</v>
      </c>
      <c r="J5" s="549">
        <f t="shared" ref="J5" si="1">J4/J$14</f>
        <v>6.9605568445475635E-3</v>
      </c>
      <c r="K5" s="549">
        <f>K4/K$14</f>
        <v>6.2033084311632868E-3</v>
      </c>
      <c r="M5" s="709" t="s">
        <v>374</v>
      </c>
      <c r="N5" s="663"/>
      <c r="O5" s="663"/>
      <c r="P5" s="663"/>
      <c r="Q5" s="663"/>
      <c r="R5" s="663"/>
      <c r="S5" s="663"/>
      <c r="T5" s="663"/>
      <c r="U5" s="663"/>
      <c r="V5" s="663"/>
      <c r="W5" s="663"/>
      <c r="X5" s="663"/>
      <c r="Y5" s="663"/>
      <c r="Z5" s="663"/>
      <c r="AA5" s="663"/>
      <c r="AB5" s="663"/>
      <c r="AC5" s="663"/>
      <c r="AD5" s="663"/>
      <c r="AE5" s="663"/>
      <c r="AF5" s="663">
        <v>1</v>
      </c>
      <c r="AG5" s="663"/>
      <c r="AH5" s="664"/>
      <c r="AI5" s="663"/>
    </row>
    <row r="6" spans="1:35" s="21" customFormat="1" ht="18.75" customHeight="1" x14ac:dyDescent="0.15">
      <c r="A6" s="968" t="s">
        <v>15</v>
      </c>
      <c r="B6" s="546">
        <f>SUM(N6:P6)</f>
        <v>694</v>
      </c>
      <c r="C6" s="546">
        <f>SUM(Q6:R6)</f>
        <v>903</v>
      </c>
      <c r="D6" s="546">
        <f>SUM(S6:V6)</f>
        <v>806</v>
      </c>
      <c r="E6" s="546">
        <f>SUM(W6:Y6)</f>
        <v>610</v>
      </c>
      <c r="F6" s="546">
        <f>SUM(Z6:AA6)</f>
        <v>571</v>
      </c>
      <c r="G6" s="546">
        <f>SUM(AB6:AD6)</f>
        <v>1654</v>
      </c>
      <c r="H6" s="546">
        <f>SUM(AE6)</f>
        <v>1685</v>
      </c>
      <c r="I6" s="546">
        <f>SUM(AF6)</f>
        <v>862</v>
      </c>
      <c r="J6" s="546">
        <f>SUM(AG6:AH6)</f>
        <v>643</v>
      </c>
      <c r="K6" s="547">
        <f>SUM(B6:J6)</f>
        <v>8428</v>
      </c>
      <c r="M6" s="708" t="s">
        <v>15</v>
      </c>
      <c r="N6" s="660">
        <v>212</v>
      </c>
      <c r="O6" s="660">
        <v>250</v>
      </c>
      <c r="P6" s="660">
        <v>232</v>
      </c>
      <c r="Q6" s="660">
        <v>511</v>
      </c>
      <c r="R6" s="660">
        <v>392</v>
      </c>
      <c r="S6" s="660">
        <v>270</v>
      </c>
      <c r="T6" s="660">
        <v>168</v>
      </c>
      <c r="U6" s="660">
        <v>205</v>
      </c>
      <c r="V6" s="660">
        <v>163</v>
      </c>
      <c r="W6" s="660">
        <v>383</v>
      </c>
      <c r="X6" s="660">
        <v>166</v>
      </c>
      <c r="Y6" s="660">
        <v>61</v>
      </c>
      <c r="Z6" s="660">
        <v>247</v>
      </c>
      <c r="AA6" s="660">
        <v>324</v>
      </c>
      <c r="AB6" s="660">
        <v>478</v>
      </c>
      <c r="AC6" s="660">
        <v>545</v>
      </c>
      <c r="AD6" s="660">
        <v>631</v>
      </c>
      <c r="AE6" s="660">
        <v>1685</v>
      </c>
      <c r="AF6" s="660">
        <v>862</v>
      </c>
      <c r="AG6" s="660">
        <v>603</v>
      </c>
      <c r="AH6" s="661">
        <v>40</v>
      </c>
      <c r="AI6" s="660"/>
    </row>
    <row r="7" spans="1:35" s="21" customFormat="1" ht="18.75" customHeight="1" x14ac:dyDescent="0.15">
      <c r="A7" s="970"/>
      <c r="B7" s="549">
        <f t="shared" ref="B7:I7" si="2">B6/B$14</f>
        <v>0.57450331125827814</v>
      </c>
      <c r="C7" s="549">
        <f t="shared" si="2"/>
        <v>0.70327102803738317</v>
      </c>
      <c r="D7" s="549">
        <f t="shared" si="2"/>
        <v>0.6272373540856031</v>
      </c>
      <c r="E7" s="549">
        <f t="shared" si="2"/>
        <v>0.55404178019981831</v>
      </c>
      <c r="F7" s="549">
        <f t="shared" si="2"/>
        <v>0.53969754253308133</v>
      </c>
      <c r="G7" s="549">
        <f t="shared" si="2"/>
        <v>0.52028939918213279</v>
      </c>
      <c r="H7" s="549">
        <f t="shared" si="2"/>
        <v>0.53885513271506236</v>
      </c>
      <c r="I7" s="549">
        <f t="shared" si="2"/>
        <v>0.59162663006177074</v>
      </c>
      <c r="J7" s="549">
        <f t="shared" ref="J7" si="3">J6/J$14</f>
        <v>0.49729311678267596</v>
      </c>
      <c r="K7" s="549">
        <f>K6/K$14</f>
        <v>0.56216648879402353</v>
      </c>
      <c r="M7" s="709" t="s">
        <v>16</v>
      </c>
      <c r="N7" s="663">
        <v>139</v>
      </c>
      <c r="O7" s="663">
        <v>203</v>
      </c>
      <c r="P7" s="663">
        <v>161</v>
      </c>
      <c r="Q7" s="663">
        <v>194</v>
      </c>
      <c r="R7" s="663">
        <v>182</v>
      </c>
      <c r="S7" s="663">
        <v>145</v>
      </c>
      <c r="T7" s="663">
        <v>86</v>
      </c>
      <c r="U7" s="663">
        <v>121</v>
      </c>
      <c r="V7" s="663">
        <v>112</v>
      </c>
      <c r="W7" s="663">
        <v>269</v>
      </c>
      <c r="X7" s="663">
        <v>170</v>
      </c>
      <c r="Y7" s="663">
        <v>36</v>
      </c>
      <c r="Z7" s="663">
        <v>247</v>
      </c>
      <c r="AA7" s="663">
        <v>231</v>
      </c>
      <c r="AB7" s="663">
        <v>430</v>
      </c>
      <c r="AC7" s="663">
        <v>736</v>
      </c>
      <c r="AD7" s="663">
        <v>352</v>
      </c>
      <c r="AE7" s="663">
        <v>1400</v>
      </c>
      <c r="AF7" s="663">
        <v>579</v>
      </c>
      <c r="AG7" s="663">
        <v>578</v>
      </c>
      <c r="AH7" s="664">
        <v>57</v>
      </c>
      <c r="AI7" s="663"/>
    </row>
    <row r="8" spans="1:35" s="21" customFormat="1" ht="18.75" customHeight="1" x14ac:dyDescent="0.15">
      <c r="A8" s="968" t="s">
        <v>16</v>
      </c>
      <c r="B8" s="546">
        <f>SUM(N7:P7)</f>
        <v>503</v>
      </c>
      <c r="C8" s="546">
        <f>SUM(Q7:R7)</f>
        <v>376</v>
      </c>
      <c r="D8" s="546">
        <f>SUM(S7:V7)</f>
        <v>464</v>
      </c>
      <c r="E8" s="546">
        <f>SUM(W7:Y7)</f>
        <v>475</v>
      </c>
      <c r="F8" s="546">
        <f>SUM(Z7:AA7)</f>
        <v>478</v>
      </c>
      <c r="G8" s="546">
        <f>SUM(AB7:AD7)</f>
        <v>1518</v>
      </c>
      <c r="H8" s="546">
        <f>AE7</f>
        <v>1400</v>
      </c>
      <c r="I8" s="546">
        <f>AF7</f>
        <v>579</v>
      </c>
      <c r="J8" s="546">
        <f>SUM(AG7:AH7)</f>
        <v>635</v>
      </c>
      <c r="K8" s="547">
        <f>SUM(B8:J8)</f>
        <v>6428</v>
      </c>
      <c r="M8" s="708" t="s">
        <v>17</v>
      </c>
      <c r="N8" s="660"/>
      <c r="O8" s="660"/>
      <c r="P8" s="660"/>
      <c r="Q8" s="660"/>
      <c r="R8" s="660"/>
      <c r="S8" s="660"/>
      <c r="T8" s="660"/>
      <c r="U8" s="660"/>
      <c r="V8" s="660"/>
      <c r="W8" s="660"/>
      <c r="X8" s="660"/>
      <c r="Y8" s="660"/>
      <c r="Z8" s="660"/>
      <c r="AA8" s="660"/>
      <c r="AB8" s="660"/>
      <c r="AC8" s="660"/>
      <c r="AD8" s="660"/>
      <c r="AE8" s="660">
        <v>1</v>
      </c>
      <c r="AF8" s="660"/>
      <c r="AG8" s="660">
        <v>1</v>
      </c>
      <c r="AH8" s="661"/>
      <c r="AI8" s="660"/>
    </row>
    <row r="9" spans="1:35" s="21" customFormat="1" ht="18.75" customHeight="1" x14ac:dyDescent="0.15">
      <c r="A9" s="970"/>
      <c r="B9" s="549">
        <f t="shared" ref="B9:I9" si="4">B8/B$14</f>
        <v>0.41639072847682118</v>
      </c>
      <c r="C9" s="549">
        <f t="shared" si="4"/>
        <v>0.29283489096573206</v>
      </c>
      <c r="D9" s="549">
        <f t="shared" si="4"/>
        <v>0.36108949416342412</v>
      </c>
      <c r="E9" s="549">
        <f t="shared" si="4"/>
        <v>0.43142597638510444</v>
      </c>
      <c r="F9" s="549">
        <f t="shared" si="4"/>
        <v>0.45179584120982985</v>
      </c>
      <c r="G9" s="549">
        <f t="shared" si="4"/>
        <v>0.47750865051903113</v>
      </c>
      <c r="H9" s="549">
        <f t="shared" si="4"/>
        <v>0.4477134633834346</v>
      </c>
      <c r="I9" s="549">
        <f t="shared" si="4"/>
        <v>0.39739190116678108</v>
      </c>
      <c r="J9" s="549">
        <f t="shared" ref="J9" si="5">J8/J$14</f>
        <v>0.49110595514307809</v>
      </c>
      <c r="K9" s="549">
        <f>K8/K$14</f>
        <v>0.42876200640341516</v>
      </c>
      <c r="M9" s="709" t="s">
        <v>614</v>
      </c>
      <c r="N9" s="663"/>
      <c r="O9" s="663"/>
      <c r="P9" s="663"/>
      <c r="Q9" s="663"/>
      <c r="R9" s="663"/>
      <c r="S9" s="663"/>
      <c r="T9" s="663"/>
      <c r="U9" s="663"/>
      <c r="V9" s="663"/>
      <c r="W9" s="663">
        <v>1</v>
      </c>
      <c r="X9" s="663"/>
      <c r="Y9" s="663"/>
      <c r="Z9" s="663"/>
      <c r="AA9" s="663"/>
      <c r="AB9" s="663"/>
      <c r="AC9" s="663"/>
      <c r="AD9" s="663"/>
      <c r="AE9" s="663">
        <v>2</v>
      </c>
      <c r="AF9" s="663"/>
      <c r="AG9" s="663">
        <v>1</v>
      </c>
      <c r="AH9" s="664">
        <v>2</v>
      </c>
      <c r="AI9" s="663"/>
    </row>
    <row r="10" spans="1:35" s="21" customFormat="1" ht="18.75" customHeight="1" x14ac:dyDescent="0.15">
      <c r="A10" s="968" t="s">
        <v>17</v>
      </c>
      <c r="B10" s="546">
        <f>SUM(N8:P8)</f>
        <v>0</v>
      </c>
      <c r="C10" s="546">
        <f>SUM(Q8:R8)</f>
        <v>0</v>
      </c>
      <c r="D10" s="546">
        <f>SUM(S8:V8)</f>
        <v>0</v>
      </c>
      <c r="E10" s="546">
        <f>SUM(W8:Y8)</f>
        <v>0</v>
      </c>
      <c r="F10" s="546">
        <f>SUM(Z8:AA8)</f>
        <v>0</v>
      </c>
      <c r="G10" s="546">
        <f>SUM(AB8:AD8)</f>
        <v>0</v>
      </c>
      <c r="H10" s="546">
        <f>AE8</f>
        <v>1</v>
      </c>
      <c r="I10" s="546">
        <f>AF8</f>
        <v>0</v>
      </c>
      <c r="J10" s="546">
        <f>SUM(AG8:AH8)</f>
        <v>1</v>
      </c>
      <c r="K10" s="547">
        <f>SUM(B10:J10)</f>
        <v>2</v>
      </c>
      <c r="M10" s="708" t="s">
        <v>615</v>
      </c>
      <c r="N10" s="660"/>
      <c r="O10" s="660">
        <v>2</v>
      </c>
      <c r="P10" s="660">
        <v>1</v>
      </c>
      <c r="Q10" s="660">
        <v>1</v>
      </c>
      <c r="R10" s="660">
        <v>1</v>
      </c>
      <c r="S10" s="660">
        <v>3</v>
      </c>
      <c r="T10" s="660">
        <v>3</v>
      </c>
      <c r="U10" s="660">
        <v>2</v>
      </c>
      <c r="V10" s="660"/>
      <c r="W10" s="660">
        <v>3</v>
      </c>
      <c r="X10" s="660">
        <v>2</v>
      </c>
      <c r="Y10" s="660">
        <v>1</v>
      </c>
      <c r="Z10" s="660">
        <v>1</v>
      </c>
      <c r="AA10" s="660">
        <v>1</v>
      </c>
      <c r="AB10" s="660"/>
      <c r="AC10" s="660"/>
      <c r="AD10" s="660">
        <v>1</v>
      </c>
      <c r="AE10" s="660">
        <v>9</v>
      </c>
      <c r="AF10" s="660">
        <v>1</v>
      </c>
      <c r="AG10" s="660">
        <v>2</v>
      </c>
      <c r="AH10" s="661"/>
      <c r="AI10" s="660"/>
    </row>
    <row r="11" spans="1:35" s="21" customFormat="1" ht="18.75" customHeight="1" x14ac:dyDescent="0.15">
      <c r="A11" s="970"/>
      <c r="B11" s="579">
        <f t="shared" ref="B11:I11" si="6">B10/B$14</f>
        <v>0</v>
      </c>
      <c r="C11" s="579">
        <f t="shared" si="6"/>
        <v>0</v>
      </c>
      <c r="D11" s="579">
        <f t="shared" si="6"/>
        <v>0</v>
      </c>
      <c r="E11" s="579">
        <f t="shared" si="6"/>
        <v>0</v>
      </c>
      <c r="F11" s="579">
        <f t="shared" si="6"/>
        <v>0</v>
      </c>
      <c r="G11" s="579">
        <f t="shared" si="6"/>
        <v>0</v>
      </c>
      <c r="H11" s="579">
        <f t="shared" si="6"/>
        <v>3.1979533098816759E-4</v>
      </c>
      <c r="I11" s="579">
        <f t="shared" si="6"/>
        <v>0</v>
      </c>
      <c r="J11" s="579">
        <f t="shared" ref="J11" si="7">J10/J$14</f>
        <v>7.7339520494972935E-4</v>
      </c>
      <c r="K11" s="579">
        <f>K10/K$14</f>
        <v>1.3340448239060833E-4</v>
      </c>
      <c r="M11" s="664" t="s">
        <v>375</v>
      </c>
      <c r="N11" s="664"/>
      <c r="O11" s="664"/>
      <c r="P11" s="664"/>
      <c r="Q11" s="664"/>
      <c r="R11" s="664"/>
      <c r="S11" s="664"/>
      <c r="T11" s="664"/>
      <c r="U11" s="664"/>
      <c r="V11" s="664"/>
      <c r="W11" s="664"/>
      <c r="X11" s="664"/>
      <c r="Y11" s="664"/>
      <c r="Z11" s="664"/>
      <c r="AA11" s="664"/>
      <c r="AB11" s="664"/>
      <c r="AC11" s="664"/>
      <c r="AD11" s="664"/>
      <c r="AE11" s="664">
        <v>1</v>
      </c>
      <c r="AF11" s="664"/>
      <c r="AG11" s="664"/>
      <c r="AH11" s="664"/>
      <c r="AI11" s="663"/>
    </row>
    <row r="12" spans="1:35" s="21" customFormat="1" ht="18.75" customHeight="1" x14ac:dyDescent="0.15">
      <c r="A12" s="968" t="s">
        <v>18</v>
      </c>
      <c r="B12" s="580">
        <f>SUM(N9:P11)</f>
        <v>3</v>
      </c>
      <c r="C12" s="581">
        <f>SUM(Q9:R11)</f>
        <v>2</v>
      </c>
      <c r="D12" s="581">
        <f>SUM(S9:V11)</f>
        <v>8</v>
      </c>
      <c r="E12" s="581">
        <f>SUM(W9:Y11)</f>
        <v>7</v>
      </c>
      <c r="F12" s="581">
        <f>SUM(Z9:AA11)</f>
        <v>2</v>
      </c>
      <c r="G12" s="581">
        <f>SUM(AB9:AD11)</f>
        <v>1</v>
      </c>
      <c r="H12" s="581">
        <f>SUM(AE9:AE11)</f>
        <v>12</v>
      </c>
      <c r="I12" s="581">
        <f>SUM(AF9:AF11)</f>
        <v>1</v>
      </c>
      <c r="J12" s="581">
        <f>SUM(AG9:AH11)</f>
        <v>5</v>
      </c>
      <c r="K12" s="547">
        <f>SUM(B12:J12)</f>
        <v>41</v>
      </c>
    </row>
    <row r="13" spans="1:35" s="21" customFormat="1" ht="18.75" customHeight="1" x14ac:dyDescent="0.15">
      <c r="A13" s="970"/>
      <c r="B13" s="549">
        <f t="shared" ref="B13:I13" si="8">B12/B$14</f>
        <v>2.4834437086092716E-3</v>
      </c>
      <c r="C13" s="549">
        <f t="shared" si="8"/>
        <v>1.557632398753894E-3</v>
      </c>
      <c r="D13" s="549">
        <f t="shared" si="8"/>
        <v>6.2256809338521405E-3</v>
      </c>
      <c r="E13" s="549">
        <f t="shared" si="8"/>
        <v>6.3578564940962763E-3</v>
      </c>
      <c r="F13" s="549">
        <f t="shared" si="8"/>
        <v>1.890359168241966E-3</v>
      </c>
      <c r="G13" s="549">
        <f t="shared" si="8"/>
        <v>3.1456432840515884E-4</v>
      </c>
      <c r="H13" s="549">
        <f t="shared" si="8"/>
        <v>3.8375439718580109E-3</v>
      </c>
      <c r="I13" s="549">
        <f t="shared" si="8"/>
        <v>6.863417982155113E-4</v>
      </c>
      <c r="J13" s="549">
        <f t="shared" ref="J13" si="9">J12/J$14</f>
        <v>3.8669760247486465E-3</v>
      </c>
      <c r="K13" s="549">
        <f>K12/K$14</f>
        <v>2.7347918890074708E-3</v>
      </c>
    </row>
    <row r="14" spans="1:35" s="21" customFormat="1" ht="18.75" customHeight="1" x14ac:dyDescent="0.15">
      <c r="A14" s="991" t="s">
        <v>11</v>
      </c>
      <c r="B14" s="550">
        <f>SUM(B4,B6,B8,B10,B12)</f>
        <v>1208</v>
      </c>
      <c r="C14" s="550">
        <f t="shared" ref="C14:J15" si="10">SUM(C4,C6,C8,C10,C12)</f>
        <v>1284</v>
      </c>
      <c r="D14" s="550">
        <f t="shared" si="10"/>
        <v>1285</v>
      </c>
      <c r="E14" s="550">
        <f t="shared" si="10"/>
        <v>1101</v>
      </c>
      <c r="F14" s="550">
        <f t="shared" si="10"/>
        <v>1058</v>
      </c>
      <c r="G14" s="550">
        <f t="shared" si="10"/>
        <v>3179</v>
      </c>
      <c r="H14" s="550">
        <f t="shared" si="10"/>
        <v>3127</v>
      </c>
      <c r="I14" s="550">
        <f t="shared" si="10"/>
        <v>1457</v>
      </c>
      <c r="J14" s="550">
        <f t="shared" si="10"/>
        <v>1293</v>
      </c>
      <c r="K14" s="551">
        <f>SUM(B14:J14)</f>
        <v>14992</v>
      </c>
    </row>
    <row r="15" spans="1:35" s="21" customFormat="1" ht="18.75" customHeight="1" x14ac:dyDescent="0.15">
      <c r="A15" s="992"/>
      <c r="B15" s="552">
        <f>SUM(B5,B7,B9,B11,B13)</f>
        <v>1</v>
      </c>
      <c r="C15" s="552">
        <f t="shared" si="10"/>
        <v>1</v>
      </c>
      <c r="D15" s="552">
        <f t="shared" si="10"/>
        <v>1</v>
      </c>
      <c r="E15" s="552">
        <f t="shared" si="10"/>
        <v>1</v>
      </c>
      <c r="F15" s="552">
        <f t="shared" si="10"/>
        <v>1</v>
      </c>
      <c r="G15" s="552">
        <f t="shared" si="10"/>
        <v>1</v>
      </c>
      <c r="H15" s="552">
        <f t="shared" si="10"/>
        <v>0.99999999999999989</v>
      </c>
      <c r="I15" s="552">
        <f t="shared" si="10"/>
        <v>1</v>
      </c>
      <c r="J15" s="552">
        <v>1</v>
      </c>
      <c r="K15" s="552">
        <f>SUM(K5,K7,K9,K11,K13)</f>
        <v>1</v>
      </c>
    </row>
    <row r="17" spans="1:9" x14ac:dyDescent="0.15">
      <c r="A17" s="136"/>
      <c r="B17" s="136"/>
      <c r="C17" s="136"/>
      <c r="D17" s="136"/>
      <c r="E17" s="136"/>
      <c r="F17" s="136"/>
      <c r="G17" s="136"/>
      <c r="H17" s="136"/>
      <c r="I17" s="136"/>
    </row>
    <row r="18" spans="1:9" x14ac:dyDescent="0.15">
      <c r="A18" s="632"/>
      <c r="B18" s="632"/>
      <c r="C18" s="632"/>
      <c r="D18" s="632"/>
      <c r="E18" s="632"/>
      <c r="F18" s="632"/>
      <c r="G18" s="632"/>
      <c r="H18" s="632"/>
      <c r="I18" s="632"/>
    </row>
    <row r="19" spans="1:9" x14ac:dyDescent="0.15">
      <c r="A19" s="136"/>
      <c r="B19" s="136"/>
      <c r="C19" s="136"/>
      <c r="D19" s="136"/>
      <c r="E19" s="136"/>
      <c r="F19" s="136"/>
      <c r="G19" s="136"/>
      <c r="H19" s="136"/>
      <c r="I19" s="136"/>
    </row>
    <row r="20" spans="1:9" x14ac:dyDescent="0.15">
      <c r="A20" s="136"/>
      <c r="B20" s="136"/>
      <c r="C20" s="136"/>
      <c r="D20" s="136"/>
      <c r="E20" s="136"/>
      <c r="F20" s="136"/>
      <c r="G20" s="136"/>
      <c r="H20" s="136"/>
      <c r="I20" s="136"/>
    </row>
    <row r="21" spans="1:9" x14ac:dyDescent="0.15">
      <c r="A21" s="136"/>
      <c r="B21" s="136"/>
      <c r="C21" s="136"/>
      <c r="D21" s="136"/>
      <c r="E21" s="136"/>
      <c r="F21" s="136"/>
      <c r="G21" s="136"/>
      <c r="H21" s="136"/>
      <c r="I21" s="136"/>
    </row>
    <row r="27" spans="1:9" x14ac:dyDescent="0.15">
      <c r="A27" s="577"/>
      <c r="B27" s="582"/>
    </row>
    <row r="28" spans="1:9" x14ac:dyDescent="0.15">
      <c r="A28" s="577"/>
      <c r="B28" s="583"/>
    </row>
  </sheetData>
  <mergeCells count="5">
    <mergeCell ref="A6:A7"/>
    <mergeCell ref="A8:A9"/>
    <mergeCell ref="A10:A11"/>
    <mergeCell ref="A12:A13"/>
    <mergeCell ref="A14:A15"/>
  </mergeCells>
  <phoneticPr fontId="2"/>
  <printOptions horizontalCentered="1"/>
  <pageMargins left="0.70866141732283472" right="0.70866141732283472" top="0.74803149606299213" bottom="0.74803149606299213" header="0.31496062992125984"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4033" r:id="rId4" name="Button 1">
              <controlPr defaultSize="0" print="0" autoFill="0" autoPict="0" macro="[0]!データ削除_入院形態入院時住所地">
                <anchor moveWithCells="1" sizeWithCells="1">
                  <from>
                    <xdr:col>12</xdr:col>
                    <xdr:colOff>180975</xdr:colOff>
                    <xdr:row>13</xdr:row>
                    <xdr:rowOff>114300</xdr:rowOff>
                  </from>
                  <to>
                    <xdr:col>15</xdr:col>
                    <xdr:colOff>447675</xdr:colOff>
                    <xdr:row>16</xdr:row>
                    <xdr:rowOff>0</xdr:rowOff>
                  </to>
                </anchor>
              </controlPr>
            </control>
          </mc:Choice>
        </mc:AlternateContent>
      </controls>
    </mc:Choice>
  </mc:AlternateContent>
  <tableParts count="1">
    <tablePart r:id="rId5"/>
  </tableParts>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0">
    <tabColor theme="5" tint="0.39997558519241921"/>
    <pageSetUpPr fitToPage="1"/>
  </sheetPr>
  <dimension ref="A1:AI35"/>
  <sheetViews>
    <sheetView showGridLines="0" view="pageBreakPreview" topLeftCell="B1" zoomScale="80" zoomScaleNormal="80" zoomScaleSheetLayoutView="80" workbookViewId="0">
      <selection activeCell="M1" sqref="M1:AI1048576"/>
    </sheetView>
  </sheetViews>
  <sheetFormatPr defaultColWidth="13.75" defaultRowHeight="18.75" x14ac:dyDescent="0.15"/>
  <cols>
    <col min="1" max="1" width="27.5" style="537" customWidth="1"/>
    <col min="2" max="11" width="8.75" style="537" customWidth="1"/>
    <col min="12" max="12" width="7.5" style="537" customWidth="1"/>
    <col min="13" max="13" width="19.125" style="537" hidden="1" customWidth="1"/>
    <col min="14" max="14" width="11" style="562" hidden="1" customWidth="1"/>
    <col min="15" max="16" width="12.875" style="562" hidden="1" customWidth="1"/>
    <col min="17" max="17" width="9.125" style="562" hidden="1" customWidth="1"/>
    <col min="18" max="18" width="12.875" style="562" hidden="1" customWidth="1"/>
    <col min="19" max="19" width="14.75" style="562" hidden="1" customWidth="1"/>
    <col min="20" max="20" width="16.625" style="562" hidden="1" customWidth="1"/>
    <col min="21" max="22" width="12.875" style="562" hidden="1" customWidth="1"/>
    <col min="23" max="23" width="16.625" style="562" hidden="1" customWidth="1"/>
    <col min="24" max="24" width="14.75" style="562" hidden="1" customWidth="1"/>
    <col min="25" max="27" width="12.875" style="562" hidden="1" customWidth="1"/>
    <col min="28" max="31" width="11" style="562" hidden="1" customWidth="1"/>
    <col min="32" max="32" width="9.125" style="562" hidden="1" customWidth="1"/>
    <col min="33" max="33" width="11" style="562" hidden="1" customWidth="1"/>
    <col min="34" max="34" width="14.75" style="562" hidden="1" customWidth="1"/>
    <col min="35" max="35" width="7.875" style="562" hidden="1" customWidth="1"/>
    <col min="36" max="36" width="13.75" style="537" customWidth="1"/>
    <col min="37" max="16384" width="13.75" style="537"/>
  </cols>
  <sheetData>
    <row r="1" spans="1:35" s="3" customFormat="1" ht="19.5" x14ac:dyDescent="0.15">
      <c r="A1" s="2" t="s">
        <v>467</v>
      </c>
      <c r="N1" s="669"/>
      <c r="O1" s="669"/>
      <c r="P1" s="669"/>
      <c r="Q1" s="669"/>
      <c r="R1" s="669"/>
      <c r="S1" s="669"/>
      <c r="T1" s="669"/>
      <c r="U1" s="669"/>
      <c r="V1" s="669"/>
      <c r="W1" s="669"/>
      <c r="X1" s="669"/>
      <c r="Y1" s="669"/>
      <c r="Z1" s="669"/>
      <c r="AA1" s="669"/>
      <c r="AB1" s="669"/>
      <c r="AC1" s="669"/>
      <c r="AD1" s="669"/>
      <c r="AE1" s="669"/>
      <c r="AF1" s="669"/>
      <c r="AG1" s="669"/>
      <c r="AH1" s="669"/>
      <c r="AI1" s="669"/>
    </row>
    <row r="2" spans="1:35" ht="19.5" thickBot="1" x14ac:dyDescent="0.2">
      <c r="A2" s="4"/>
    </row>
    <row r="3" spans="1:35" ht="39" thickTop="1" thickBot="1" x14ac:dyDescent="0.2">
      <c r="A3" s="545"/>
      <c r="B3" s="545" t="s">
        <v>387</v>
      </c>
      <c r="C3" s="545" t="s">
        <v>388</v>
      </c>
      <c r="D3" s="545" t="s">
        <v>389</v>
      </c>
      <c r="E3" s="545" t="s">
        <v>390</v>
      </c>
      <c r="F3" s="545" t="s">
        <v>391</v>
      </c>
      <c r="G3" s="545" t="s">
        <v>392</v>
      </c>
      <c r="H3" s="545" t="s">
        <v>393</v>
      </c>
      <c r="I3" s="545" t="s">
        <v>394</v>
      </c>
      <c r="J3" s="571" t="s">
        <v>465</v>
      </c>
      <c r="K3" s="545" t="s">
        <v>62</v>
      </c>
      <c r="M3" s="734" t="s">
        <v>373</v>
      </c>
      <c r="N3" s="710" t="s">
        <v>395</v>
      </c>
      <c r="O3" s="710" t="s">
        <v>396</v>
      </c>
      <c r="P3" s="710" t="s">
        <v>397</v>
      </c>
      <c r="Q3" s="710" t="s">
        <v>398</v>
      </c>
      <c r="R3" s="710" t="s">
        <v>399</v>
      </c>
      <c r="S3" s="710" t="s">
        <v>400</v>
      </c>
      <c r="T3" s="710" t="s">
        <v>401</v>
      </c>
      <c r="U3" s="710" t="s">
        <v>402</v>
      </c>
      <c r="V3" s="710" t="s">
        <v>403</v>
      </c>
      <c r="W3" s="710" t="s">
        <v>404</v>
      </c>
      <c r="X3" s="710" t="s">
        <v>565</v>
      </c>
      <c r="Y3" s="710" t="s">
        <v>566</v>
      </c>
      <c r="Z3" s="710" t="s">
        <v>567</v>
      </c>
      <c r="AA3" s="710" t="s">
        <v>568</v>
      </c>
      <c r="AB3" s="710" t="s">
        <v>569</v>
      </c>
      <c r="AC3" s="710" t="s">
        <v>570</v>
      </c>
      <c r="AD3" s="710" t="s">
        <v>571</v>
      </c>
      <c r="AE3" s="710" t="s">
        <v>572</v>
      </c>
      <c r="AF3" s="710" t="s">
        <v>573</v>
      </c>
      <c r="AG3" s="710" t="s">
        <v>620</v>
      </c>
      <c r="AH3" s="713" t="s">
        <v>621</v>
      </c>
      <c r="AI3" s="713" t="s">
        <v>609</v>
      </c>
    </row>
    <row r="4" spans="1:35" s="21" customFormat="1" ht="18" customHeight="1" thickTop="1" x14ac:dyDescent="0.15">
      <c r="A4" s="972" t="s">
        <v>408</v>
      </c>
      <c r="B4" s="546">
        <f t="shared" ref="B4:I4" si="0">B6+B8+B10</f>
        <v>288</v>
      </c>
      <c r="C4" s="546">
        <f t="shared" si="0"/>
        <v>426</v>
      </c>
      <c r="D4" s="546">
        <f t="shared" si="0"/>
        <v>307</v>
      </c>
      <c r="E4" s="546">
        <f t="shared" si="0"/>
        <v>250</v>
      </c>
      <c r="F4" s="546">
        <f t="shared" si="0"/>
        <v>284</v>
      </c>
      <c r="G4" s="546">
        <f t="shared" si="0"/>
        <v>1240</v>
      </c>
      <c r="H4" s="546">
        <f t="shared" si="0"/>
        <v>718</v>
      </c>
      <c r="I4" s="546">
        <f t="shared" si="0"/>
        <v>410</v>
      </c>
      <c r="J4" s="546">
        <f t="shared" ref="J4" si="1">SUM(J6,J8,J10)</f>
        <v>312</v>
      </c>
      <c r="K4" s="547">
        <f>SUM(B4:J4)</f>
        <v>4235</v>
      </c>
      <c r="M4" s="735" t="s">
        <v>295</v>
      </c>
      <c r="N4" s="660">
        <v>50</v>
      </c>
      <c r="O4" s="660">
        <v>52</v>
      </c>
      <c r="P4" s="660">
        <v>54</v>
      </c>
      <c r="Q4" s="660">
        <v>142</v>
      </c>
      <c r="R4" s="660">
        <v>100</v>
      </c>
      <c r="S4" s="660">
        <v>50</v>
      </c>
      <c r="T4" s="660">
        <v>19</v>
      </c>
      <c r="U4" s="660">
        <v>41</v>
      </c>
      <c r="V4" s="660">
        <v>33</v>
      </c>
      <c r="W4" s="660">
        <v>63</v>
      </c>
      <c r="X4" s="660">
        <v>49</v>
      </c>
      <c r="Y4" s="660">
        <v>12</v>
      </c>
      <c r="Z4" s="660">
        <v>84</v>
      </c>
      <c r="AA4" s="660">
        <v>70</v>
      </c>
      <c r="AB4" s="660">
        <v>138</v>
      </c>
      <c r="AC4" s="660">
        <v>270</v>
      </c>
      <c r="AD4" s="660">
        <v>245</v>
      </c>
      <c r="AE4" s="660">
        <v>317</v>
      </c>
      <c r="AF4" s="660">
        <v>216</v>
      </c>
      <c r="AG4" s="660">
        <v>129</v>
      </c>
      <c r="AH4" s="667">
        <v>3</v>
      </c>
      <c r="AI4" s="712"/>
    </row>
    <row r="5" spans="1:35" s="21" customFormat="1" ht="18" customHeight="1" x14ac:dyDescent="0.15">
      <c r="A5" s="973"/>
      <c r="B5" s="549">
        <f t="shared" ref="B5:I5" si="2">B4/B$34</f>
        <v>0.23841059602649006</v>
      </c>
      <c r="C5" s="549">
        <f t="shared" si="2"/>
        <v>0.33177570093457942</v>
      </c>
      <c r="D5" s="549">
        <f t="shared" si="2"/>
        <v>0.23891050583657589</v>
      </c>
      <c r="E5" s="549">
        <f t="shared" si="2"/>
        <v>0.22706630336058128</v>
      </c>
      <c r="F5" s="549">
        <f t="shared" si="2"/>
        <v>0.26843100189035918</v>
      </c>
      <c r="G5" s="549">
        <f t="shared" si="2"/>
        <v>0.39005976722239699</v>
      </c>
      <c r="H5" s="549">
        <f t="shared" si="2"/>
        <v>0.22961304764950433</v>
      </c>
      <c r="I5" s="549">
        <f t="shared" si="2"/>
        <v>0.28140013726835966</v>
      </c>
      <c r="J5" s="549">
        <f t="shared" ref="J5" si="3">J4/J$34</f>
        <v>0.24129930394431554</v>
      </c>
      <c r="K5" s="549">
        <f>K4/K$34</f>
        <v>0.28248399146211312</v>
      </c>
      <c r="M5" s="664" t="s">
        <v>284</v>
      </c>
      <c r="N5" s="663">
        <v>7</v>
      </c>
      <c r="O5" s="663">
        <v>4</v>
      </c>
      <c r="P5" s="663">
        <v>3</v>
      </c>
      <c r="Q5" s="663">
        <v>25</v>
      </c>
      <c r="R5" s="663">
        <v>14</v>
      </c>
      <c r="S5" s="663">
        <v>10</v>
      </c>
      <c r="T5" s="663">
        <v>6</v>
      </c>
      <c r="U5" s="663">
        <v>3</v>
      </c>
      <c r="V5" s="663">
        <v>6</v>
      </c>
      <c r="W5" s="663">
        <v>9</v>
      </c>
      <c r="X5" s="663">
        <v>2</v>
      </c>
      <c r="Y5" s="663">
        <v>1</v>
      </c>
      <c r="Z5" s="663">
        <v>5</v>
      </c>
      <c r="AA5" s="663">
        <v>11</v>
      </c>
      <c r="AB5" s="663">
        <v>25</v>
      </c>
      <c r="AC5" s="663">
        <v>40</v>
      </c>
      <c r="AD5" s="663">
        <v>51</v>
      </c>
      <c r="AE5" s="663">
        <v>53</v>
      </c>
      <c r="AF5" s="663">
        <v>26</v>
      </c>
      <c r="AG5" s="663">
        <v>20</v>
      </c>
      <c r="AH5" s="668">
        <v>1</v>
      </c>
      <c r="AI5" s="668"/>
    </row>
    <row r="6" spans="1:35" s="21" customFormat="1" ht="18" customHeight="1" x14ac:dyDescent="0.15">
      <c r="A6" s="974" t="s">
        <v>409</v>
      </c>
      <c r="B6" s="546">
        <f>SUM(N4:P4)</f>
        <v>156</v>
      </c>
      <c r="C6" s="546">
        <f>SUM(Q4:R4)</f>
        <v>242</v>
      </c>
      <c r="D6" s="546">
        <f>SUM(S4:V4)</f>
        <v>143</v>
      </c>
      <c r="E6" s="546">
        <f>SUM(W4:Y4)</f>
        <v>124</v>
      </c>
      <c r="F6" s="546">
        <f>SUM(Z4:AA4)</f>
        <v>154</v>
      </c>
      <c r="G6" s="546">
        <f>SUM(AB4:AD4)</f>
        <v>653</v>
      </c>
      <c r="H6" s="546">
        <f>AE4</f>
        <v>317</v>
      </c>
      <c r="I6" s="546">
        <f>AF4</f>
        <v>216</v>
      </c>
      <c r="J6" s="546">
        <f>SUM(AG4:AH4)</f>
        <v>132</v>
      </c>
      <c r="K6" s="547">
        <f>SUM(B6:J6)</f>
        <v>2137</v>
      </c>
      <c r="M6" s="661" t="s">
        <v>285</v>
      </c>
      <c r="N6" s="660">
        <v>29</v>
      </c>
      <c r="O6" s="660">
        <v>49</v>
      </c>
      <c r="P6" s="660">
        <v>40</v>
      </c>
      <c r="Q6" s="660">
        <v>71</v>
      </c>
      <c r="R6" s="660">
        <v>74</v>
      </c>
      <c r="S6" s="660">
        <v>38</v>
      </c>
      <c r="T6" s="660">
        <v>33</v>
      </c>
      <c r="U6" s="660">
        <v>33</v>
      </c>
      <c r="V6" s="660">
        <v>35</v>
      </c>
      <c r="W6" s="660">
        <v>80</v>
      </c>
      <c r="X6" s="660">
        <v>22</v>
      </c>
      <c r="Y6" s="660">
        <v>12</v>
      </c>
      <c r="Z6" s="660">
        <v>55</v>
      </c>
      <c r="AA6" s="660">
        <v>59</v>
      </c>
      <c r="AB6" s="660">
        <v>159</v>
      </c>
      <c r="AC6" s="660">
        <v>148</v>
      </c>
      <c r="AD6" s="660">
        <v>164</v>
      </c>
      <c r="AE6" s="660">
        <v>348</v>
      </c>
      <c r="AF6" s="660">
        <v>168</v>
      </c>
      <c r="AG6" s="660">
        <v>149</v>
      </c>
      <c r="AH6" s="667">
        <v>10</v>
      </c>
      <c r="AI6" s="667"/>
    </row>
    <row r="7" spans="1:35" s="21" customFormat="1" ht="18" customHeight="1" x14ac:dyDescent="0.15">
      <c r="A7" s="975"/>
      <c r="B7" s="549">
        <f t="shared" ref="B7:I7" si="4">B6/B$34</f>
        <v>0.12913907284768211</v>
      </c>
      <c r="C7" s="549">
        <f t="shared" si="4"/>
        <v>0.18847352024922118</v>
      </c>
      <c r="D7" s="549">
        <f t="shared" si="4"/>
        <v>0.111284046692607</v>
      </c>
      <c r="E7" s="549">
        <f t="shared" si="4"/>
        <v>0.11262488646684832</v>
      </c>
      <c r="F7" s="549">
        <f t="shared" si="4"/>
        <v>0.14555765595463138</v>
      </c>
      <c r="G7" s="549">
        <f t="shared" si="4"/>
        <v>0.20541050644856873</v>
      </c>
      <c r="H7" s="549">
        <f t="shared" si="4"/>
        <v>0.10137511992324912</v>
      </c>
      <c r="I7" s="549">
        <f t="shared" si="4"/>
        <v>0.14824982841455045</v>
      </c>
      <c r="J7" s="549">
        <f t="shared" ref="J7" si="5">J6/J$34</f>
        <v>0.10208816705336426</v>
      </c>
      <c r="K7" s="549">
        <f>K6/K$34</f>
        <v>0.14254268943436499</v>
      </c>
      <c r="M7" s="664" t="s">
        <v>286</v>
      </c>
      <c r="N7" s="663">
        <v>12</v>
      </c>
      <c r="O7" s="663">
        <v>12</v>
      </c>
      <c r="P7" s="663">
        <v>12</v>
      </c>
      <c r="Q7" s="663">
        <v>20</v>
      </c>
      <c r="R7" s="663">
        <v>18</v>
      </c>
      <c r="S7" s="663">
        <v>8</v>
      </c>
      <c r="T7" s="663">
        <v>6</v>
      </c>
      <c r="U7" s="663">
        <v>13</v>
      </c>
      <c r="V7" s="663">
        <v>11</v>
      </c>
      <c r="W7" s="663">
        <v>19</v>
      </c>
      <c r="X7" s="663">
        <v>11</v>
      </c>
      <c r="Y7" s="663">
        <v>3</v>
      </c>
      <c r="Z7" s="663">
        <v>30</v>
      </c>
      <c r="AA7" s="663">
        <v>23</v>
      </c>
      <c r="AB7" s="663">
        <v>64</v>
      </c>
      <c r="AC7" s="663">
        <v>42</v>
      </c>
      <c r="AD7" s="663">
        <v>27</v>
      </c>
      <c r="AE7" s="663">
        <v>177</v>
      </c>
      <c r="AF7" s="663">
        <v>84</v>
      </c>
      <c r="AG7" s="663">
        <v>95</v>
      </c>
      <c r="AH7" s="668">
        <v>8</v>
      </c>
      <c r="AI7" s="668"/>
    </row>
    <row r="8" spans="1:35" s="21" customFormat="1" ht="18" customHeight="1" x14ac:dyDescent="0.15">
      <c r="A8" s="974" t="s">
        <v>410</v>
      </c>
      <c r="B8" s="546">
        <f>SUM(N5:P5)</f>
        <v>14</v>
      </c>
      <c r="C8" s="546">
        <f>SUM(Q5:R5)</f>
        <v>39</v>
      </c>
      <c r="D8" s="546">
        <f>SUM(S5:V5)</f>
        <v>25</v>
      </c>
      <c r="E8" s="546">
        <f>SUM(W5:Y5)</f>
        <v>12</v>
      </c>
      <c r="F8" s="546">
        <f>SUM(Z5:AA5)</f>
        <v>16</v>
      </c>
      <c r="G8" s="546">
        <f>SUM(AB5:AD5)</f>
        <v>116</v>
      </c>
      <c r="H8" s="546">
        <f>AE5</f>
        <v>53</v>
      </c>
      <c r="I8" s="546">
        <f>AF5</f>
        <v>26</v>
      </c>
      <c r="J8" s="546">
        <f>SUM(AG5:AH5)</f>
        <v>21</v>
      </c>
      <c r="K8" s="547">
        <f>SUM(B8:J8)</f>
        <v>322</v>
      </c>
      <c r="M8" s="661" t="s">
        <v>201</v>
      </c>
      <c r="N8" s="660"/>
      <c r="O8" s="660">
        <v>2</v>
      </c>
      <c r="P8" s="660">
        <v>1</v>
      </c>
      <c r="Q8" s="660">
        <v>1</v>
      </c>
      <c r="R8" s="660">
        <v>1</v>
      </c>
      <c r="S8" s="660"/>
      <c r="T8" s="660">
        <v>1</v>
      </c>
      <c r="U8" s="660">
        <v>1</v>
      </c>
      <c r="V8" s="660"/>
      <c r="W8" s="660">
        <v>3</v>
      </c>
      <c r="X8" s="660">
        <v>1</v>
      </c>
      <c r="Y8" s="660"/>
      <c r="Z8" s="660">
        <v>1</v>
      </c>
      <c r="AA8" s="660">
        <v>2</v>
      </c>
      <c r="AB8" s="660">
        <v>2</v>
      </c>
      <c r="AC8" s="660">
        <v>11</v>
      </c>
      <c r="AD8" s="660">
        <v>5</v>
      </c>
      <c r="AE8" s="660">
        <v>32</v>
      </c>
      <c r="AF8" s="660">
        <v>7</v>
      </c>
      <c r="AG8" s="660">
        <v>4</v>
      </c>
      <c r="AH8" s="667">
        <v>4</v>
      </c>
      <c r="AI8" s="667"/>
    </row>
    <row r="9" spans="1:35" s="21" customFormat="1" ht="18" customHeight="1" x14ac:dyDescent="0.15">
      <c r="A9" s="975"/>
      <c r="B9" s="549">
        <f t="shared" ref="B9:I9" si="6">B8/B$34</f>
        <v>1.1589403973509934E-2</v>
      </c>
      <c r="C9" s="549">
        <f t="shared" si="6"/>
        <v>3.0373831775700934E-2</v>
      </c>
      <c r="D9" s="549">
        <f t="shared" si="6"/>
        <v>1.9455252918287938E-2</v>
      </c>
      <c r="E9" s="549">
        <f t="shared" si="6"/>
        <v>1.0899182561307902E-2</v>
      </c>
      <c r="F9" s="549">
        <f t="shared" si="6"/>
        <v>1.5122873345935728E-2</v>
      </c>
      <c r="G9" s="549">
        <f t="shared" si="6"/>
        <v>3.6489462094998426E-2</v>
      </c>
      <c r="H9" s="549">
        <f t="shared" si="6"/>
        <v>1.6949152542372881E-2</v>
      </c>
      <c r="I9" s="549">
        <f t="shared" si="6"/>
        <v>1.7844886753603295E-2</v>
      </c>
      <c r="J9" s="549">
        <f t="shared" ref="J9" si="7">J8/J$34</f>
        <v>1.6241299303944315E-2</v>
      </c>
      <c r="K9" s="549">
        <f>K8/K$34</f>
        <v>2.1478121664887939E-2</v>
      </c>
      <c r="M9" s="664" t="s">
        <v>200</v>
      </c>
      <c r="N9" s="663">
        <v>1</v>
      </c>
      <c r="O9" s="663">
        <v>1</v>
      </c>
      <c r="P9" s="663"/>
      <c r="Q9" s="663"/>
      <c r="R9" s="663"/>
      <c r="S9" s="663">
        <v>1</v>
      </c>
      <c r="T9" s="663"/>
      <c r="U9" s="663"/>
      <c r="V9" s="663">
        <v>1</v>
      </c>
      <c r="W9" s="663">
        <v>3</v>
      </c>
      <c r="X9" s="663">
        <v>1</v>
      </c>
      <c r="Y9" s="663"/>
      <c r="Z9" s="663">
        <v>1</v>
      </c>
      <c r="AA9" s="663"/>
      <c r="AB9" s="663">
        <v>2</v>
      </c>
      <c r="AC9" s="663">
        <v>7</v>
      </c>
      <c r="AD9" s="663">
        <v>1</v>
      </c>
      <c r="AE9" s="663">
        <v>17</v>
      </c>
      <c r="AF9" s="663">
        <v>2</v>
      </c>
      <c r="AG9" s="663">
        <v>1</v>
      </c>
      <c r="AH9" s="668"/>
      <c r="AI9" s="668"/>
    </row>
    <row r="10" spans="1:35" s="21" customFormat="1" ht="18" customHeight="1" x14ac:dyDescent="0.15">
      <c r="A10" s="974" t="s">
        <v>411</v>
      </c>
      <c r="B10" s="546">
        <f>SUM(N6:P6)</f>
        <v>118</v>
      </c>
      <c r="C10" s="546">
        <f>SUM(Q6:R6)</f>
        <v>145</v>
      </c>
      <c r="D10" s="546">
        <f>SUM(S6:V6)</f>
        <v>139</v>
      </c>
      <c r="E10" s="546">
        <f>SUM(W6:Y6)</f>
        <v>114</v>
      </c>
      <c r="F10" s="546">
        <f>SUM(Z6:AA6)</f>
        <v>114</v>
      </c>
      <c r="G10" s="546">
        <f>SUM(AB6:AD6)</f>
        <v>471</v>
      </c>
      <c r="H10" s="546">
        <f>AE6</f>
        <v>348</v>
      </c>
      <c r="I10" s="546">
        <f>AF6</f>
        <v>168</v>
      </c>
      <c r="J10" s="546">
        <f>SUM(AG6:AH6)</f>
        <v>159</v>
      </c>
      <c r="K10" s="547">
        <f>SUM(B10:J10)</f>
        <v>1776</v>
      </c>
      <c r="M10" s="661" t="s">
        <v>287</v>
      </c>
      <c r="N10" s="660">
        <v>189</v>
      </c>
      <c r="O10" s="660">
        <v>253</v>
      </c>
      <c r="P10" s="660">
        <v>213</v>
      </c>
      <c r="Q10" s="660">
        <v>333</v>
      </c>
      <c r="R10" s="660">
        <v>279</v>
      </c>
      <c r="S10" s="660">
        <v>224</v>
      </c>
      <c r="T10" s="660">
        <v>139</v>
      </c>
      <c r="U10" s="660">
        <v>186</v>
      </c>
      <c r="V10" s="660">
        <v>147</v>
      </c>
      <c r="W10" s="660">
        <v>361</v>
      </c>
      <c r="X10" s="660">
        <v>179</v>
      </c>
      <c r="Y10" s="660">
        <v>53</v>
      </c>
      <c r="Z10" s="660">
        <v>239</v>
      </c>
      <c r="AA10" s="660">
        <v>274</v>
      </c>
      <c r="AB10" s="660">
        <v>387</v>
      </c>
      <c r="AC10" s="660">
        <v>528</v>
      </c>
      <c r="AD10" s="660">
        <v>352</v>
      </c>
      <c r="AE10" s="660">
        <v>1590</v>
      </c>
      <c r="AF10" s="660">
        <v>725</v>
      </c>
      <c r="AG10" s="660">
        <v>615</v>
      </c>
      <c r="AH10" s="667">
        <v>63</v>
      </c>
      <c r="AI10" s="667"/>
    </row>
    <row r="11" spans="1:35" s="21" customFormat="1" ht="26.25" customHeight="1" x14ac:dyDescent="0.15">
      <c r="A11" s="975"/>
      <c r="B11" s="549">
        <f t="shared" ref="B11:I11" si="8">B10/B$34</f>
        <v>9.7682119205298013E-2</v>
      </c>
      <c r="C11" s="549">
        <f t="shared" si="8"/>
        <v>0.11292834890965732</v>
      </c>
      <c r="D11" s="549">
        <f t="shared" si="8"/>
        <v>0.10817120622568094</v>
      </c>
      <c r="E11" s="549">
        <f t="shared" si="8"/>
        <v>0.10354223433242507</v>
      </c>
      <c r="F11" s="549">
        <f t="shared" si="8"/>
        <v>0.10775047258979206</v>
      </c>
      <c r="G11" s="549">
        <f t="shared" si="8"/>
        <v>0.14815979867882981</v>
      </c>
      <c r="H11" s="549">
        <f t="shared" si="8"/>
        <v>0.11128877518388232</v>
      </c>
      <c r="I11" s="549">
        <f t="shared" si="8"/>
        <v>0.1153054221002059</v>
      </c>
      <c r="J11" s="549">
        <f t="shared" ref="J11" si="9">J10/J$34</f>
        <v>0.12296983758700696</v>
      </c>
      <c r="K11" s="549">
        <f>K10/K$34</f>
        <v>0.11846318036286019</v>
      </c>
      <c r="M11" s="664" t="s">
        <v>288</v>
      </c>
      <c r="N11" s="663">
        <v>20</v>
      </c>
      <c r="O11" s="663">
        <v>30</v>
      </c>
      <c r="P11" s="663">
        <v>28</v>
      </c>
      <c r="Q11" s="663">
        <v>39</v>
      </c>
      <c r="R11" s="663">
        <v>23</v>
      </c>
      <c r="S11" s="663">
        <v>22</v>
      </c>
      <c r="T11" s="663">
        <v>17</v>
      </c>
      <c r="U11" s="663">
        <v>23</v>
      </c>
      <c r="V11" s="663">
        <v>14</v>
      </c>
      <c r="W11" s="663">
        <v>29</v>
      </c>
      <c r="X11" s="663">
        <v>26</v>
      </c>
      <c r="Y11" s="663">
        <v>7</v>
      </c>
      <c r="Z11" s="663">
        <v>35</v>
      </c>
      <c r="AA11" s="663">
        <v>28</v>
      </c>
      <c r="AB11" s="663">
        <v>22</v>
      </c>
      <c r="AC11" s="663">
        <v>58</v>
      </c>
      <c r="AD11" s="663">
        <v>22</v>
      </c>
      <c r="AE11" s="663">
        <v>172</v>
      </c>
      <c r="AF11" s="663">
        <v>80</v>
      </c>
      <c r="AG11" s="663">
        <v>63</v>
      </c>
      <c r="AH11" s="668">
        <v>2</v>
      </c>
      <c r="AI11" s="668"/>
    </row>
    <row r="12" spans="1:35" s="21" customFormat="1" ht="18" customHeight="1" x14ac:dyDescent="0.15">
      <c r="A12" s="972" t="s">
        <v>20</v>
      </c>
      <c r="B12" s="546">
        <f>SUM(N7:P9)</f>
        <v>41</v>
      </c>
      <c r="C12" s="546">
        <f>SUM(Q7:R9)</f>
        <v>40</v>
      </c>
      <c r="D12" s="546">
        <f>SUM(S7:V9)</f>
        <v>42</v>
      </c>
      <c r="E12" s="546">
        <f>SUM(W7:Y9)</f>
        <v>41</v>
      </c>
      <c r="F12" s="546">
        <f>SUM(Z7:AA9)</f>
        <v>57</v>
      </c>
      <c r="G12" s="546">
        <f>SUM(AB7:AD9)</f>
        <v>161</v>
      </c>
      <c r="H12" s="546">
        <f>SUM(AE7:AE9)</f>
        <v>226</v>
      </c>
      <c r="I12" s="546">
        <f>SUM(AF7:AF9)</f>
        <v>93</v>
      </c>
      <c r="J12" s="546">
        <f>SUM(AG7:AH9)</f>
        <v>112</v>
      </c>
      <c r="K12" s="547">
        <f>SUM(B12:J12)</f>
        <v>813</v>
      </c>
      <c r="M12" s="661" t="s">
        <v>289</v>
      </c>
      <c r="N12" s="660">
        <v>22</v>
      </c>
      <c r="O12" s="660">
        <v>19</v>
      </c>
      <c r="P12" s="660">
        <v>17</v>
      </c>
      <c r="Q12" s="660">
        <v>24</v>
      </c>
      <c r="R12" s="660">
        <v>24</v>
      </c>
      <c r="S12" s="660">
        <v>19</v>
      </c>
      <c r="T12" s="660">
        <v>14</v>
      </c>
      <c r="U12" s="660">
        <v>16</v>
      </c>
      <c r="V12" s="660">
        <v>13</v>
      </c>
      <c r="W12" s="660">
        <v>37</v>
      </c>
      <c r="X12" s="660">
        <v>12</v>
      </c>
      <c r="Y12" s="660">
        <v>1</v>
      </c>
      <c r="Z12" s="660">
        <v>18</v>
      </c>
      <c r="AA12" s="660">
        <v>50</v>
      </c>
      <c r="AB12" s="660">
        <v>61</v>
      </c>
      <c r="AC12" s="660">
        <v>100</v>
      </c>
      <c r="AD12" s="660">
        <v>61</v>
      </c>
      <c r="AE12" s="660">
        <v>165</v>
      </c>
      <c r="AF12" s="660">
        <v>58</v>
      </c>
      <c r="AG12" s="660">
        <v>40</v>
      </c>
      <c r="AH12" s="667">
        <v>2</v>
      </c>
      <c r="AI12" s="667"/>
    </row>
    <row r="13" spans="1:35" s="21" customFormat="1" ht="18" customHeight="1" x14ac:dyDescent="0.15">
      <c r="A13" s="973"/>
      <c r="B13" s="549">
        <f t="shared" ref="B13:I13" si="10">B12/B$34</f>
        <v>3.3940397350993377E-2</v>
      </c>
      <c r="C13" s="549">
        <f t="shared" si="10"/>
        <v>3.1152647975077882E-2</v>
      </c>
      <c r="D13" s="549">
        <f t="shared" si="10"/>
        <v>3.2684824902723737E-2</v>
      </c>
      <c r="E13" s="549">
        <f t="shared" si="10"/>
        <v>3.7238873751135333E-2</v>
      </c>
      <c r="F13" s="549">
        <f t="shared" si="10"/>
        <v>5.3875236294896031E-2</v>
      </c>
      <c r="G13" s="549">
        <f t="shared" si="10"/>
        <v>5.0644856873230573E-2</v>
      </c>
      <c r="H13" s="549">
        <f t="shared" si="10"/>
        <v>7.2273744803325865E-2</v>
      </c>
      <c r="I13" s="549">
        <f t="shared" si="10"/>
        <v>6.3829787234042548E-2</v>
      </c>
      <c r="J13" s="549">
        <f t="shared" ref="J13" si="11">J12/J$34</f>
        <v>8.6620262954369684E-2</v>
      </c>
      <c r="K13" s="549">
        <f>K12/K$34</f>
        <v>5.4228922091782282E-2</v>
      </c>
      <c r="M13" s="664" t="s">
        <v>290</v>
      </c>
      <c r="N13" s="663">
        <v>7</v>
      </c>
      <c r="O13" s="663">
        <v>12</v>
      </c>
      <c r="P13" s="663">
        <v>5</v>
      </c>
      <c r="Q13" s="663">
        <v>7</v>
      </c>
      <c r="R13" s="663">
        <v>11</v>
      </c>
      <c r="S13" s="663">
        <v>10</v>
      </c>
      <c r="T13" s="663">
        <v>5</v>
      </c>
      <c r="U13" s="663">
        <v>5</v>
      </c>
      <c r="V13" s="663">
        <v>1</v>
      </c>
      <c r="W13" s="663">
        <v>19</v>
      </c>
      <c r="X13" s="663">
        <v>11</v>
      </c>
      <c r="Y13" s="663">
        <v>3</v>
      </c>
      <c r="Z13" s="663">
        <v>10</v>
      </c>
      <c r="AA13" s="663">
        <v>14</v>
      </c>
      <c r="AB13" s="663">
        <v>11</v>
      </c>
      <c r="AC13" s="663">
        <v>12</v>
      </c>
      <c r="AD13" s="663">
        <v>11</v>
      </c>
      <c r="AE13" s="663">
        <v>82</v>
      </c>
      <c r="AF13" s="663">
        <v>16</v>
      </c>
      <c r="AG13" s="663">
        <v>16</v>
      </c>
      <c r="AH13" s="668">
        <v>4</v>
      </c>
      <c r="AI13" s="668"/>
    </row>
    <row r="14" spans="1:35" s="21" customFormat="1" ht="18" customHeight="1" x14ac:dyDescent="0.15">
      <c r="A14" s="972" t="s">
        <v>21</v>
      </c>
      <c r="B14" s="546">
        <f>SUM(N10:P10)</f>
        <v>655</v>
      </c>
      <c r="C14" s="546">
        <f>SUM(Q10:R10)</f>
        <v>612</v>
      </c>
      <c r="D14" s="546">
        <f>SUM(S10:V10)</f>
        <v>696</v>
      </c>
      <c r="E14" s="546">
        <f>SUM(W10:Y10)</f>
        <v>593</v>
      </c>
      <c r="F14" s="546">
        <f>SUM(Z10:AA10)</f>
        <v>513</v>
      </c>
      <c r="G14" s="546">
        <f>SUM(AB10:AD10)</f>
        <v>1267</v>
      </c>
      <c r="H14" s="546">
        <f>AE10</f>
        <v>1590</v>
      </c>
      <c r="I14" s="546">
        <f>AF10</f>
        <v>725</v>
      </c>
      <c r="J14" s="546">
        <f>SUM(AG10:AH10)</f>
        <v>678</v>
      </c>
      <c r="K14" s="547">
        <f>SUM(B14:J14)</f>
        <v>7329</v>
      </c>
      <c r="M14" s="661" t="s">
        <v>291</v>
      </c>
      <c r="N14" s="660">
        <v>1</v>
      </c>
      <c r="O14" s="660">
        <v>1</v>
      </c>
      <c r="P14" s="660">
        <v>1</v>
      </c>
      <c r="Q14" s="660"/>
      <c r="R14" s="660">
        <v>1</v>
      </c>
      <c r="S14" s="660">
        <v>1</v>
      </c>
      <c r="T14" s="660">
        <v>1</v>
      </c>
      <c r="U14" s="660"/>
      <c r="V14" s="660"/>
      <c r="W14" s="660"/>
      <c r="X14" s="660"/>
      <c r="Y14" s="660">
        <v>1</v>
      </c>
      <c r="Z14" s="660">
        <v>2</v>
      </c>
      <c r="AA14" s="660"/>
      <c r="AB14" s="660"/>
      <c r="AC14" s="660">
        <v>3</v>
      </c>
      <c r="AD14" s="660">
        <v>1</v>
      </c>
      <c r="AE14" s="660">
        <v>11</v>
      </c>
      <c r="AF14" s="660">
        <v>4</v>
      </c>
      <c r="AG14" s="660">
        <v>5</v>
      </c>
      <c r="AH14" s="667"/>
      <c r="AI14" s="667"/>
    </row>
    <row r="15" spans="1:35" s="21" customFormat="1" ht="18" customHeight="1" x14ac:dyDescent="0.15">
      <c r="A15" s="973"/>
      <c r="B15" s="549">
        <f t="shared" ref="B15:I15" si="12">B14/B$34</f>
        <v>0.54221854304635764</v>
      </c>
      <c r="C15" s="549">
        <f t="shared" si="12"/>
        <v>0.47663551401869159</v>
      </c>
      <c r="D15" s="549">
        <f t="shared" si="12"/>
        <v>0.54163424124513615</v>
      </c>
      <c r="E15" s="549">
        <f t="shared" si="12"/>
        <v>0.53860127157129878</v>
      </c>
      <c r="F15" s="549">
        <f t="shared" si="12"/>
        <v>0.48487712665406429</v>
      </c>
      <c r="G15" s="549">
        <f t="shared" si="12"/>
        <v>0.39855300408933625</v>
      </c>
      <c r="H15" s="549">
        <f t="shared" si="12"/>
        <v>0.50847457627118642</v>
      </c>
      <c r="I15" s="549">
        <f t="shared" si="12"/>
        <v>0.49759780370624573</v>
      </c>
      <c r="J15" s="549">
        <f t="shared" ref="J15" si="13">J14/J$34</f>
        <v>0.52436194895591648</v>
      </c>
      <c r="K15" s="549">
        <f>K14/K$34</f>
        <v>0.48886072572038419</v>
      </c>
      <c r="M15" s="664" t="s">
        <v>296</v>
      </c>
      <c r="N15" s="663"/>
      <c r="O15" s="663">
        <v>2</v>
      </c>
      <c r="P15" s="663">
        <v>1</v>
      </c>
      <c r="Q15" s="663">
        <v>2</v>
      </c>
      <c r="R15" s="663">
        <v>2</v>
      </c>
      <c r="S15" s="663">
        <v>1</v>
      </c>
      <c r="T15" s="663">
        <v>5</v>
      </c>
      <c r="U15" s="663">
        <v>1</v>
      </c>
      <c r="V15" s="663">
        <v>1</v>
      </c>
      <c r="W15" s="663">
        <v>6</v>
      </c>
      <c r="X15" s="663"/>
      <c r="Y15" s="663"/>
      <c r="Z15" s="663">
        <v>2</v>
      </c>
      <c r="AA15" s="663">
        <v>3</v>
      </c>
      <c r="AB15" s="663"/>
      <c r="AC15" s="663">
        <v>3</v>
      </c>
      <c r="AD15" s="663">
        <v>5</v>
      </c>
      <c r="AE15" s="663">
        <v>10</v>
      </c>
      <c r="AF15" s="663">
        <v>3</v>
      </c>
      <c r="AG15" s="663">
        <v>6</v>
      </c>
      <c r="AH15" s="668">
        <v>1</v>
      </c>
      <c r="AI15" s="668"/>
    </row>
    <row r="16" spans="1:35" s="21" customFormat="1" ht="18" customHeight="1" x14ac:dyDescent="0.15">
      <c r="A16" s="972" t="s">
        <v>22</v>
      </c>
      <c r="B16" s="546">
        <f>SUM(N11:P12)</f>
        <v>136</v>
      </c>
      <c r="C16" s="546">
        <f>SUM(Q11:R12)</f>
        <v>110</v>
      </c>
      <c r="D16" s="546">
        <f>SUM(S11:V12)</f>
        <v>138</v>
      </c>
      <c r="E16" s="546">
        <f>SUM(W11:Y12)</f>
        <v>112</v>
      </c>
      <c r="F16" s="546">
        <f>SUM(Z11:AA12)</f>
        <v>131</v>
      </c>
      <c r="G16" s="546">
        <f>SUM(AB11:AD12)</f>
        <v>324</v>
      </c>
      <c r="H16" s="546">
        <f>SUM(AE11:AE12)</f>
        <v>337</v>
      </c>
      <c r="I16" s="546">
        <f>SUM(AF11:AF12)</f>
        <v>138</v>
      </c>
      <c r="J16" s="546">
        <f>SUM(AG11:AH12)</f>
        <v>107</v>
      </c>
      <c r="K16" s="547">
        <f>SUM(B16:J16)</f>
        <v>1533</v>
      </c>
      <c r="M16" s="661" t="s">
        <v>292</v>
      </c>
      <c r="N16" s="660">
        <v>10</v>
      </c>
      <c r="O16" s="660">
        <v>12</v>
      </c>
      <c r="P16" s="660">
        <v>2</v>
      </c>
      <c r="Q16" s="660">
        <v>17</v>
      </c>
      <c r="R16" s="660">
        <v>9</v>
      </c>
      <c r="S16" s="660">
        <v>9</v>
      </c>
      <c r="T16" s="660">
        <v>5</v>
      </c>
      <c r="U16" s="660">
        <v>4</v>
      </c>
      <c r="V16" s="660">
        <v>5</v>
      </c>
      <c r="W16" s="660">
        <v>8</v>
      </c>
      <c r="X16" s="660">
        <v>10</v>
      </c>
      <c r="Y16" s="660"/>
      <c r="Z16" s="660">
        <v>10</v>
      </c>
      <c r="AA16" s="660">
        <v>10</v>
      </c>
      <c r="AB16" s="660">
        <v>18</v>
      </c>
      <c r="AC16" s="660">
        <v>27</v>
      </c>
      <c r="AD16" s="660">
        <v>18</v>
      </c>
      <c r="AE16" s="660">
        <v>62</v>
      </c>
      <c r="AF16" s="660">
        <v>31</v>
      </c>
      <c r="AG16" s="660">
        <v>18</v>
      </c>
      <c r="AH16" s="667">
        <v>3</v>
      </c>
      <c r="AI16" s="667"/>
    </row>
    <row r="17" spans="1:35" s="21" customFormat="1" ht="18" customHeight="1" x14ac:dyDescent="0.15">
      <c r="A17" s="973"/>
      <c r="B17" s="549">
        <f t="shared" ref="B17:I17" si="14">B16/B$34</f>
        <v>0.11258278145695365</v>
      </c>
      <c r="C17" s="549">
        <f t="shared" si="14"/>
        <v>8.566978193146417E-2</v>
      </c>
      <c r="D17" s="549">
        <f t="shared" si="14"/>
        <v>0.10739299610894941</v>
      </c>
      <c r="E17" s="549">
        <f t="shared" si="14"/>
        <v>0.10172570390554042</v>
      </c>
      <c r="F17" s="549">
        <f t="shared" si="14"/>
        <v>0.12381852551984877</v>
      </c>
      <c r="G17" s="549">
        <f t="shared" si="14"/>
        <v>0.10191884240327147</v>
      </c>
      <c r="H17" s="549">
        <f t="shared" si="14"/>
        <v>0.10777102654301247</v>
      </c>
      <c r="I17" s="549">
        <f t="shared" si="14"/>
        <v>9.4715168153740564E-2</v>
      </c>
      <c r="J17" s="549">
        <f t="shared" ref="J17" si="15">J16/J$34</f>
        <v>8.2753286929621042E-2</v>
      </c>
      <c r="K17" s="549">
        <f>K16/K$34</f>
        <v>0.10225453575240127</v>
      </c>
      <c r="M17" s="664" t="s">
        <v>293</v>
      </c>
      <c r="N17" s="663">
        <v>2</v>
      </c>
      <c r="O17" s="663">
        <v>4</v>
      </c>
      <c r="P17" s="663">
        <v>6</v>
      </c>
      <c r="Q17" s="663">
        <v>9</v>
      </c>
      <c r="R17" s="663">
        <v>6</v>
      </c>
      <c r="S17" s="663">
        <v>8</v>
      </c>
      <c r="T17" s="663">
        <v>5</v>
      </c>
      <c r="U17" s="663">
        <v>2</v>
      </c>
      <c r="V17" s="663">
        <v>5</v>
      </c>
      <c r="W17" s="663">
        <v>11</v>
      </c>
      <c r="X17" s="663">
        <v>3</v>
      </c>
      <c r="Y17" s="663">
        <v>3</v>
      </c>
      <c r="Z17" s="663">
        <v>5</v>
      </c>
      <c r="AA17" s="663">
        <v>6</v>
      </c>
      <c r="AB17" s="663">
        <v>8</v>
      </c>
      <c r="AC17" s="663">
        <v>8</v>
      </c>
      <c r="AD17" s="663">
        <v>9</v>
      </c>
      <c r="AE17" s="663">
        <v>39</v>
      </c>
      <c r="AF17" s="663">
        <v>18</v>
      </c>
      <c r="AG17" s="663">
        <v>7</v>
      </c>
      <c r="AH17" s="668">
        <v>1</v>
      </c>
      <c r="AI17" s="668"/>
    </row>
    <row r="18" spans="1:35" s="21" customFormat="1" ht="18" customHeight="1" x14ac:dyDescent="0.15">
      <c r="A18" s="972" t="s">
        <v>253</v>
      </c>
      <c r="B18" s="546">
        <f>SUM(N13:P13)</f>
        <v>24</v>
      </c>
      <c r="C18" s="546">
        <f>SUM(Q13:R13)</f>
        <v>18</v>
      </c>
      <c r="D18" s="546">
        <f>SUM(S13:V13)</f>
        <v>21</v>
      </c>
      <c r="E18" s="546">
        <f>SUM(W13:Y13)</f>
        <v>33</v>
      </c>
      <c r="F18" s="546">
        <f>SUM(Z13:AA13)</f>
        <v>24</v>
      </c>
      <c r="G18" s="546">
        <f>SUM(AB13:AD13)</f>
        <v>34</v>
      </c>
      <c r="H18" s="546">
        <f>AE13</f>
        <v>82</v>
      </c>
      <c r="I18" s="546">
        <f>AF13</f>
        <v>16</v>
      </c>
      <c r="J18" s="546">
        <f>SUM(AG13:AH13)</f>
        <v>20</v>
      </c>
      <c r="K18" s="547">
        <f>SUM(B18:J18)</f>
        <v>272</v>
      </c>
      <c r="M18" s="661" t="s">
        <v>297</v>
      </c>
      <c r="N18" s="660"/>
      <c r="O18" s="660"/>
      <c r="P18" s="660">
        <v>4</v>
      </c>
      <c r="Q18" s="660">
        <v>4</v>
      </c>
      <c r="R18" s="660">
        <v>1</v>
      </c>
      <c r="S18" s="660">
        <v>2</v>
      </c>
      <c r="T18" s="660">
        <v>1</v>
      </c>
      <c r="U18" s="660"/>
      <c r="V18" s="660">
        <v>3</v>
      </c>
      <c r="W18" s="660"/>
      <c r="X18" s="660"/>
      <c r="Y18" s="660">
        <v>1</v>
      </c>
      <c r="Z18" s="660"/>
      <c r="AA18" s="660">
        <v>3</v>
      </c>
      <c r="AB18" s="660">
        <v>3</v>
      </c>
      <c r="AC18" s="660">
        <v>4</v>
      </c>
      <c r="AD18" s="660">
        <v>1</v>
      </c>
      <c r="AE18" s="660">
        <v>9</v>
      </c>
      <c r="AF18" s="660">
        <v>4</v>
      </c>
      <c r="AG18" s="660">
        <v>3</v>
      </c>
      <c r="AH18" s="667"/>
      <c r="AI18" s="667"/>
    </row>
    <row r="19" spans="1:35" s="21" customFormat="1" ht="18" customHeight="1" x14ac:dyDescent="0.15">
      <c r="A19" s="973"/>
      <c r="B19" s="549">
        <f t="shared" ref="B19:I19" si="16">B18/B$34</f>
        <v>1.9867549668874173E-2</v>
      </c>
      <c r="C19" s="549">
        <f t="shared" si="16"/>
        <v>1.4018691588785047E-2</v>
      </c>
      <c r="D19" s="549">
        <f t="shared" si="16"/>
        <v>1.6342412451361869E-2</v>
      </c>
      <c r="E19" s="549">
        <f t="shared" si="16"/>
        <v>2.9972752043596729E-2</v>
      </c>
      <c r="F19" s="549">
        <f t="shared" si="16"/>
        <v>2.2684310018903593E-2</v>
      </c>
      <c r="G19" s="549">
        <f t="shared" si="16"/>
        <v>1.06951871657754E-2</v>
      </c>
      <c r="H19" s="549">
        <f t="shared" si="16"/>
        <v>2.622321714102974E-2</v>
      </c>
      <c r="I19" s="549">
        <f t="shared" si="16"/>
        <v>1.0981468771448181E-2</v>
      </c>
      <c r="J19" s="549">
        <f t="shared" ref="J19" si="17">J18/J$34</f>
        <v>1.5467904098994586E-2</v>
      </c>
      <c r="K19" s="549">
        <f>K18/K$34</f>
        <v>1.8143009605122731E-2</v>
      </c>
      <c r="M19" s="664" t="s">
        <v>294</v>
      </c>
      <c r="N19" s="663">
        <v>1</v>
      </c>
      <c r="O19" s="663">
        <v>2</v>
      </c>
      <c r="P19" s="663">
        <v>3</v>
      </c>
      <c r="Q19" s="663">
        <v>1</v>
      </c>
      <c r="R19" s="663">
        <v>2</v>
      </c>
      <c r="S19" s="663">
        <v>2</v>
      </c>
      <c r="T19" s="663"/>
      <c r="U19" s="663"/>
      <c r="V19" s="663"/>
      <c r="W19" s="663">
        <v>2</v>
      </c>
      <c r="X19" s="663">
        <v>5</v>
      </c>
      <c r="Y19" s="663">
        <v>1</v>
      </c>
      <c r="Z19" s="663">
        <v>1</v>
      </c>
      <c r="AA19" s="663">
        <v>1</v>
      </c>
      <c r="AB19" s="663">
        <v>2</v>
      </c>
      <c r="AC19" s="663">
        <v>3</v>
      </c>
      <c r="AD19" s="663">
        <v>2</v>
      </c>
      <c r="AE19" s="663">
        <v>13</v>
      </c>
      <c r="AF19" s="663">
        <v>3</v>
      </c>
      <c r="AG19" s="663">
        <v>4</v>
      </c>
      <c r="AH19" s="668"/>
      <c r="AI19" s="668"/>
    </row>
    <row r="20" spans="1:35" s="21" customFormat="1" ht="18" customHeight="1" x14ac:dyDescent="0.15">
      <c r="A20" s="972" t="s">
        <v>254</v>
      </c>
      <c r="B20" s="546">
        <f>SUM(N14:P14)</f>
        <v>3</v>
      </c>
      <c r="C20" s="546">
        <f>SUM(Q14:R14)</f>
        <v>1</v>
      </c>
      <c r="D20" s="546">
        <f>SUM(S14:V14)</f>
        <v>2</v>
      </c>
      <c r="E20" s="546">
        <f>SUM(W14:Y14)</f>
        <v>1</v>
      </c>
      <c r="F20" s="546">
        <f>SUM(Z14:AA14)</f>
        <v>2</v>
      </c>
      <c r="G20" s="546">
        <f>SUM(AB14:AD14)</f>
        <v>4</v>
      </c>
      <c r="H20" s="546">
        <f>AE14</f>
        <v>11</v>
      </c>
      <c r="I20" s="546">
        <f>AF14</f>
        <v>4</v>
      </c>
      <c r="J20" s="546">
        <f>SUM(AG14:AH14)</f>
        <v>5</v>
      </c>
      <c r="K20" s="547">
        <f>SUM(B20:J20)</f>
        <v>33</v>
      </c>
      <c r="M20" s="661" t="s">
        <v>18</v>
      </c>
      <c r="N20" s="660">
        <v>2</v>
      </c>
      <c r="O20" s="660">
        <v>3</v>
      </c>
      <c r="P20" s="660">
        <v>7</v>
      </c>
      <c r="Q20" s="660">
        <v>14</v>
      </c>
      <c r="R20" s="660">
        <v>10</v>
      </c>
      <c r="S20" s="660">
        <v>16</v>
      </c>
      <c r="T20" s="660">
        <v>1</v>
      </c>
      <c r="U20" s="660">
        <v>2</v>
      </c>
      <c r="V20" s="660">
        <v>1</v>
      </c>
      <c r="W20" s="660">
        <v>11</v>
      </c>
      <c r="X20" s="660">
        <v>8</v>
      </c>
      <c r="Y20" s="660">
        <v>2</v>
      </c>
      <c r="Z20" s="660">
        <v>1</v>
      </c>
      <c r="AA20" s="660">
        <v>5</v>
      </c>
      <c r="AB20" s="660">
        <v>9</v>
      </c>
      <c r="AC20" s="660">
        <v>19</v>
      </c>
      <c r="AD20" s="660">
        <v>10</v>
      </c>
      <c r="AE20" s="660">
        <v>29</v>
      </c>
      <c r="AF20" s="660">
        <v>12</v>
      </c>
      <c r="AG20" s="660">
        <v>15</v>
      </c>
      <c r="AH20" s="667">
        <v>1</v>
      </c>
      <c r="AI20" s="667"/>
    </row>
    <row r="21" spans="1:35" s="21" customFormat="1" ht="18" customHeight="1" x14ac:dyDescent="0.15">
      <c r="A21" s="973"/>
      <c r="B21" s="549">
        <f t="shared" ref="B21:I21" si="18">B20/B$34</f>
        <v>2.4834437086092716E-3</v>
      </c>
      <c r="C21" s="549">
        <f t="shared" si="18"/>
        <v>7.7881619937694702E-4</v>
      </c>
      <c r="D21" s="549">
        <f t="shared" si="18"/>
        <v>1.5564202334630351E-3</v>
      </c>
      <c r="E21" s="549">
        <f t="shared" si="18"/>
        <v>9.0826521344232513E-4</v>
      </c>
      <c r="F21" s="549">
        <f t="shared" si="18"/>
        <v>1.890359168241966E-3</v>
      </c>
      <c r="G21" s="549">
        <f t="shared" si="18"/>
        <v>1.2582573136206354E-3</v>
      </c>
      <c r="H21" s="549">
        <f t="shared" si="18"/>
        <v>3.5177486408698431E-3</v>
      </c>
      <c r="I21" s="549">
        <f t="shared" si="18"/>
        <v>2.7453671928620452E-3</v>
      </c>
      <c r="J21" s="549">
        <f t="shared" ref="J21" si="19">J20/J$34</f>
        <v>3.8669760247486465E-3</v>
      </c>
      <c r="K21" s="549">
        <f>K20/K$34</f>
        <v>2.2011739594450372E-3</v>
      </c>
      <c r="M21" s="664" t="s">
        <v>375</v>
      </c>
      <c r="N21" s="664"/>
      <c r="O21" s="664"/>
      <c r="P21" s="664"/>
      <c r="Q21" s="664"/>
      <c r="R21" s="664"/>
      <c r="S21" s="664"/>
      <c r="T21" s="664"/>
      <c r="U21" s="664"/>
      <c r="V21" s="664"/>
      <c r="W21" s="664"/>
      <c r="X21" s="664"/>
      <c r="Y21" s="664"/>
      <c r="Z21" s="664"/>
      <c r="AA21" s="664"/>
      <c r="AB21" s="664"/>
      <c r="AC21" s="664"/>
      <c r="AD21" s="664"/>
      <c r="AE21" s="664">
        <v>1</v>
      </c>
      <c r="AF21" s="664"/>
      <c r="AG21" s="664"/>
      <c r="AH21" s="668"/>
      <c r="AI21" s="668"/>
    </row>
    <row r="22" spans="1:35" s="21" customFormat="1" ht="18" customHeight="1" x14ac:dyDescent="0.15">
      <c r="A22" s="972" t="s">
        <v>412</v>
      </c>
      <c r="B22" s="546">
        <f>SUM(N15:P15)</f>
        <v>3</v>
      </c>
      <c r="C22" s="546">
        <f>SUM(Q15:R15)</f>
        <v>4</v>
      </c>
      <c r="D22" s="546">
        <f>SUM(S15:V15)</f>
        <v>8</v>
      </c>
      <c r="E22" s="546">
        <f>SUM(W15:Y15)</f>
        <v>6</v>
      </c>
      <c r="F22" s="546">
        <f>SUM(Z15:AA15)</f>
        <v>5</v>
      </c>
      <c r="G22" s="546">
        <f>SUM(AB15:AD15)</f>
        <v>8</v>
      </c>
      <c r="H22" s="546">
        <f>AE15</f>
        <v>10</v>
      </c>
      <c r="I22" s="546">
        <f>AF15</f>
        <v>3</v>
      </c>
      <c r="J22" s="546">
        <f>SUM(AG15:AH15)</f>
        <v>7</v>
      </c>
      <c r="K22" s="547">
        <f>SUM(B22:J22)</f>
        <v>54</v>
      </c>
      <c r="M22" s="664" t="s">
        <v>385</v>
      </c>
      <c r="N22" s="620"/>
      <c r="O22" s="620"/>
      <c r="P22" s="620"/>
      <c r="Q22" s="620"/>
      <c r="R22" s="620"/>
      <c r="S22" s="620"/>
      <c r="T22" s="620"/>
      <c r="U22" s="620"/>
      <c r="V22" s="620"/>
      <c r="W22" s="620"/>
      <c r="X22" s="620"/>
      <c r="Y22" s="620"/>
      <c r="Z22" s="620"/>
      <c r="AA22" s="620"/>
      <c r="AB22" s="620"/>
      <c r="AC22" s="620"/>
      <c r="AD22" s="620"/>
      <c r="AE22" s="620"/>
      <c r="AF22" s="620"/>
      <c r="AG22" s="620"/>
      <c r="AH22" s="668"/>
      <c r="AI22" s="668"/>
    </row>
    <row r="23" spans="1:35" s="21" customFormat="1" ht="18" customHeight="1" x14ac:dyDescent="0.15">
      <c r="A23" s="973"/>
      <c r="B23" s="549">
        <f t="shared" ref="B23:I23" si="20">B22/B$34</f>
        <v>2.4834437086092716E-3</v>
      </c>
      <c r="C23" s="549">
        <f t="shared" si="20"/>
        <v>3.1152647975077881E-3</v>
      </c>
      <c r="D23" s="549">
        <f t="shared" si="20"/>
        <v>6.2256809338521405E-3</v>
      </c>
      <c r="E23" s="549">
        <f t="shared" si="20"/>
        <v>5.4495912806539508E-3</v>
      </c>
      <c r="F23" s="549">
        <f t="shared" si="20"/>
        <v>4.725897920604915E-3</v>
      </c>
      <c r="G23" s="549">
        <f t="shared" si="20"/>
        <v>2.5165146272412707E-3</v>
      </c>
      <c r="H23" s="549">
        <f t="shared" si="20"/>
        <v>3.1979533098816758E-3</v>
      </c>
      <c r="I23" s="549">
        <f t="shared" si="20"/>
        <v>2.0590253946465341E-3</v>
      </c>
      <c r="J23" s="549">
        <f t="shared" ref="J23" si="21">J22/J$34</f>
        <v>5.4137664346481052E-3</v>
      </c>
      <c r="K23" s="549">
        <f>K22/K$34</f>
        <v>3.6019210245464249E-3</v>
      </c>
      <c r="N23" s="620"/>
      <c r="O23" s="620"/>
      <c r="P23" s="620"/>
      <c r="Q23" s="620"/>
      <c r="R23" s="620"/>
      <c r="S23" s="620"/>
      <c r="T23" s="620"/>
      <c r="U23" s="620"/>
      <c r="V23" s="620"/>
      <c r="W23" s="620"/>
      <c r="X23" s="620"/>
      <c r="Y23" s="620"/>
      <c r="Z23" s="620"/>
      <c r="AA23" s="620"/>
      <c r="AB23" s="620"/>
      <c r="AC23" s="620"/>
      <c r="AD23" s="620"/>
      <c r="AE23" s="620"/>
      <c r="AF23" s="620"/>
      <c r="AG23" s="620"/>
      <c r="AH23" s="620"/>
      <c r="AI23" s="620"/>
    </row>
    <row r="24" spans="1:35" s="21" customFormat="1" ht="18" customHeight="1" x14ac:dyDescent="0.15">
      <c r="A24" s="972" t="s">
        <v>413</v>
      </c>
      <c r="B24" s="546">
        <f>SUM(N16:P16)</f>
        <v>24</v>
      </c>
      <c r="C24" s="546">
        <f>SUM(Q16:R16)</f>
        <v>26</v>
      </c>
      <c r="D24" s="546">
        <f>SUM(S16:V16)</f>
        <v>23</v>
      </c>
      <c r="E24" s="546">
        <f>SUM(W16:Y16)</f>
        <v>18</v>
      </c>
      <c r="F24" s="546">
        <f>SUM(Z16:AA16)</f>
        <v>20</v>
      </c>
      <c r="G24" s="546">
        <f>SUM(AB16:AD16)</f>
        <v>63</v>
      </c>
      <c r="H24" s="546">
        <f>AE16</f>
        <v>62</v>
      </c>
      <c r="I24" s="546">
        <f>AF16</f>
        <v>31</v>
      </c>
      <c r="J24" s="546">
        <f>SUM(AG16:AH16)</f>
        <v>21</v>
      </c>
      <c r="K24" s="547">
        <f>SUM(B24:J24)</f>
        <v>288</v>
      </c>
      <c r="N24" s="620"/>
      <c r="O24" s="620"/>
      <c r="P24" s="620"/>
      <c r="Q24" s="620"/>
      <c r="R24" s="620"/>
      <c r="S24" s="620"/>
      <c r="T24" s="620"/>
      <c r="U24" s="620"/>
      <c r="V24" s="620"/>
      <c r="W24" s="620"/>
      <c r="X24" s="620"/>
      <c r="Y24" s="620"/>
      <c r="Z24" s="620"/>
      <c r="AA24" s="620"/>
      <c r="AB24" s="620"/>
      <c r="AC24" s="620"/>
      <c r="AD24" s="620"/>
      <c r="AE24" s="620"/>
      <c r="AF24" s="620"/>
      <c r="AG24" s="620"/>
      <c r="AH24" s="620"/>
      <c r="AI24" s="620"/>
    </row>
    <row r="25" spans="1:35" s="21" customFormat="1" ht="18" customHeight="1" x14ac:dyDescent="0.15">
      <c r="A25" s="973"/>
      <c r="B25" s="549">
        <f t="shared" ref="B25:I25" si="22">B24/B$34</f>
        <v>1.9867549668874173E-2</v>
      </c>
      <c r="C25" s="549">
        <f t="shared" si="22"/>
        <v>2.0249221183800622E-2</v>
      </c>
      <c r="D25" s="549">
        <f t="shared" si="22"/>
        <v>1.7898832684824902E-2</v>
      </c>
      <c r="E25" s="549">
        <f t="shared" si="22"/>
        <v>1.6348773841961851E-2</v>
      </c>
      <c r="F25" s="549">
        <f t="shared" si="22"/>
        <v>1.890359168241966E-2</v>
      </c>
      <c r="G25" s="549">
        <f t="shared" si="22"/>
        <v>1.9817552689525009E-2</v>
      </c>
      <c r="H25" s="549">
        <f t="shared" si="22"/>
        <v>1.9827310521266388E-2</v>
      </c>
      <c r="I25" s="549">
        <f t="shared" si="22"/>
        <v>2.1276595744680851E-2</v>
      </c>
      <c r="J25" s="549">
        <f t="shared" ref="J25" si="23">J24/J$34</f>
        <v>1.6241299303944315E-2</v>
      </c>
      <c r="K25" s="549">
        <f>K24/K$34</f>
        <v>1.9210245464247599E-2</v>
      </c>
      <c r="N25" s="620"/>
      <c r="O25" s="620"/>
      <c r="P25" s="620"/>
      <c r="Q25" s="620"/>
      <c r="R25" s="620"/>
      <c r="S25" s="620"/>
      <c r="T25" s="620"/>
      <c r="U25" s="620"/>
      <c r="V25" s="620"/>
      <c r="W25" s="620"/>
      <c r="X25" s="620"/>
      <c r="Y25" s="620"/>
      <c r="Z25" s="620"/>
      <c r="AA25" s="620"/>
      <c r="AB25" s="620"/>
      <c r="AC25" s="620"/>
      <c r="AD25" s="620"/>
      <c r="AE25" s="620"/>
      <c r="AF25" s="620"/>
      <c r="AG25" s="620"/>
      <c r="AH25" s="620"/>
      <c r="AI25" s="620"/>
    </row>
    <row r="26" spans="1:35" s="21" customFormat="1" ht="18" customHeight="1" x14ac:dyDescent="0.15">
      <c r="A26" s="972" t="s">
        <v>83</v>
      </c>
      <c r="B26" s="546">
        <f>SUM(N17:P17)</f>
        <v>12</v>
      </c>
      <c r="C26" s="546">
        <f>SUM(Q17:R17)</f>
        <v>15</v>
      </c>
      <c r="D26" s="546">
        <f>SUM(S17:V17)</f>
        <v>20</v>
      </c>
      <c r="E26" s="546">
        <f>SUM(W17:Y17)</f>
        <v>17</v>
      </c>
      <c r="F26" s="546">
        <f>SUM(Z17:AA17)</f>
        <v>11</v>
      </c>
      <c r="G26" s="546">
        <f>SUM(AB17:AD17)</f>
        <v>25</v>
      </c>
      <c r="H26" s="546">
        <f>AE17</f>
        <v>39</v>
      </c>
      <c r="I26" s="546">
        <f>AF17</f>
        <v>18</v>
      </c>
      <c r="J26" s="546">
        <f>SUM(AG17:AH17)</f>
        <v>8</v>
      </c>
      <c r="K26" s="547">
        <f>SUM(B26:J26)</f>
        <v>165</v>
      </c>
      <c r="N26" s="620"/>
      <c r="O26" s="620"/>
      <c r="P26" s="620"/>
      <c r="Q26" s="620"/>
      <c r="R26" s="620"/>
      <c r="S26" s="620"/>
      <c r="T26" s="620"/>
      <c r="U26" s="620"/>
      <c r="V26" s="620"/>
      <c r="W26" s="620"/>
      <c r="X26" s="620"/>
      <c r="Y26" s="620"/>
      <c r="Z26" s="620"/>
      <c r="AA26" s="620"/>
      <c r="AB26" s="620"/>
      <c r="AC26" s="620"/>
      <c r="AD26" s="620"/>
      <c r="AE26" s="620"/>
      <c r="AF26" s="620"/>
      <c r="AG26" s="620"/>
      <c r="AH26" s="620"/>
      <c r="AI26" s="620"/>
    </row>
    <row r="27" spans="1:35" s="21" customFormat="1" ht="18" customHeight="1" x14ac:dyDescent="0.15">
      <c r="A27" s="973"/>
      <c r="B27" s="549">
        <f t="shared" ref="B27:I27" si="24">B26/B$34</f>
        <v>9.9337748344370865E-3</v>
      </c>
      <c r="C27" s="549">
        <f t="shared" si="24"/>
        <v>1.1682242990654205E-2</v>
      </c>
      <c r="D27" s="549">
        <f t="shared" si="24"/>
        <v>1.556420233463035E-2</v>
      </c>
      <c r="E27" s="549">
        <f t="shared" si="24"/>
        <v>1.5440508628519528E-2</v>
      </c>
      <c r="F27" s="549">
        <f t="shared" si="24"/>
        <v>1.0396975425330813E-2</v>
      </c>
      <c r="G27" s="549">
        <f t="shared" si="24"/>
        <v>7.8641082101289714E-3</v>
      </c>
      <c r="H27" s="549">
        <f t="shared" si="24"/>
        <v>1.2472017908538535E-2</v>
      </c>
      <c r="I27" s="549">
        <f t="shared" si="24"/>
        <v>1.2354152367879203E-2</v>
      </c>
      <c r="J27" s="549">
        <f t="shared" ref="J27" si="25">J26/J$34</f>
        <v>6.1871616395978348E-3</v>
      </c>
      <c r="K27" s="549">
        <f>K26/K$34</f>
        <v>1.1005869797225187E-2</v>
      </c>
      <c r="N27" s="620"/>
      <c r="O27" s="620"/>
      <c r="P27" s="620"/>
      <c r="Q27" s="620"/>
      <c r="R27" s="620"/>
      <c r="S27" s="620"/>
      <c r="T27" s="620"/>
      <c r="U27" s="620"/>
      <c r="V27" s="620"/>
      <c r="W27" s="620"/>
      <c r="X27" s="620"/>
      <c r="Y27" s="620"/>
      <c r="Z27" s="620"/>
      <c r="AA27" s="620"/>
      <c r="AB27" s="620"/>
      <c r="AC27" s="620"/>
      <c r="AD27" s="620"/>
      <c r="AE27" s="620"/>
      <c r="AF27" s="620"/>
      <c r="AG27" s="620"/>
      <c r="AH27" s="620"/>
      <c r="AI27" s="620"/>
    </row>
    <row r="28" spans="1:35" s="21" customFormat="1" ht="18" customHeight="1" x14ac:dyDescent="0.15">
      <c r="A28" s="972" t="s">
        <v>414</v>
      </c>
      <c r="B28" s="546">
        <f>SUM(N18:P18)</f>
        <v>4</v>
      </c>
      <c r="C28" s="546">
        <f>SUM(Q18:R18)</f>
        <v>5</v>
      </c>
      <c r="D28" s="546">
        <f>SUM(S18:V18)</f>
        <v>6</v>
      </c>
      <c r="E28" s="546">
        <f>SUM(W18:Y18)</f>
        <v>1</v>
      </c>
      <c r="F28" s="546">
        <f>SUM(Z18:AA18)</f>
        <v>3</v>
      </c>
      <c r="G28" s="546">
        <f>SUM(AB18:AD18)</f>
        <v>8</v>
      </c>
      <c r="H28" s="546">
        <f>AE18</f>
        <v>9</v>
      </c>
      <c r="I28" s="546">
        <f>AF18</f>
        <v>4</v>
      </c>
      <c r="J28" s="546">
        <f>SUM(AG18:AH18)</f>
        <v>3</v>
      </c>
      <c r="K28" s="547">
        <f>SUM(B28:J28)</f>
        <v>43</v>
      </c>
      <c r="N28" s="620"/>
      <c r="O28" s="620"/>
      <c r="P28" s="620"/>
      <c r="Q28" s="620"/>
      <c r="R28" s="620"/>
      <c r="S28" s="620"/>
      <c r="T28" s="620"/>
      <c r="U28" s="620"/>
      <c r="V28" s="620"/>
      <c r="W28" s="620"/>
      <c r="X28" s="620"/>
      <c r="Y28" s="620"/>
      <c r="Z28" s="620"/>
      <c r="AA28" s="620"/>
      <c r="AB28" s="620"/>
      <c r="AC28" s="620"/>
      <c r="AD28" s="620"/>
      <c r="AE28" s="620"/>
      <c r="AF28" s="620"/>
      <c r="AG28" s="620"/>
      <c r="AH28" s="620"/>
      <c r="AI28" s="620"/>
    </row>
    <row r="29" spans="1:35" s="21" customFormat="1" ht="26.25" customHeight="1" x14ac:dyDescent="0.15">
      <c r="A29" s="973"/>
      <c r="B29" s="549">
        <f t="shared" ref="B29:I29" si="26">B28/B$34</f>
        <v>3.3112582781456954E-3</v>
      </c>
      <c r="C29" s="549">
        <f t="shared" si="26"/>
        <v>3.8940809968847352E-3</v>
      </c>
      <c r="D29" s="549">
        <f t="shared" si="26"/>
        <v>4.6692607003891049E-3</v>
      </c>
      <c r="E29" s="549">
        <f t="shared" si="26"/>
        <v>9.0826521344232513E-4</v>
      </c>
      <c r="F29" s="549">
        <f t="shared" si="26"/>
        <v>2.8355387523629491E-3</v>
      </c>
      <c r="G29" s="549">
        <f t="shared" si="26"/>
        <v>2.5165146272412707E-3</v>
      </c>
      <c r="H29" s="549">
        <f t="shared" si="26"/>
        <v>2.878157978893508E-3</v>
      </c>
      <c r="I29" s="549">
        <f t="shared" si="26"/>
        <v>2.7453671928620452E-3</v>
      </c>
      <c r="J29" s="549">
        <f t="shared" ref="J29" si="27">J28/J$34</f>
        <v>2.3201856148491878E-3</v>
      </c>
      <c r="K29" s="549">
        <f>K28/K$34</f>
        <v>2.8681963713980789E-3</v>
      </c>
      <c r="N29" s="620"/>
      <c r="O29" s="620"/>
      <c r="P29" s="620"/>
      <c r="Q29" s="620"/>
      <c r="R29" s="620"/>
      <c r="S29" s="620"/>
      <c r="T29" s="620"/>
      <c r="U29" s="620"/>
      <c r="V29" s="620"/>
      <c r="W29" s="620"/>
      <c r="X29" s="620"/>
      <c r="Y29" s="620"/>
      <c r="Z29" s="620"/>
      <c r="AA29" s="620"/>
      <c r="AB29" s="620"/>
      <c r="AC29" s="620"/>
      <c r="AD29" s="620"/>
      <c r="AE29" s="620"/>
      <c r="AF29" s="620"/>
      <c r="AG29" s="620"/>
      <c r="AH29" s="620"/>
      <c r="AI29" s="620"/>
    </row>
    <row r="30" spans="1:35" s="21" customFormat="1" ht="18" customHeight="1" x14ac:dyDescent="0.15">
      <c r="A30" s="972" t="s">
        <v>123</v>
      </c>
      <c r="B30" s="546">
        <f>SUM(N19:P19)</f>
        <v>6</v>
      </c>
      <c r="C30" s="546">
        <f>SUM(Q19:R19)</f>
        <v>3</v>
      </c>
      <c r="D30" s="546">
        <f>SUM(S19:V19)</f>
        <v>2</v>
      </c>
      <c r="E30" s="546">
        <f>SUM(W19:Y19)</f>
        <v>8</v>
      </c>
      <c r="F30" s="546">
        <f>SUM(Z19:AA19)</f>
        <v>2</v>
      </c>
      <c r="G30" s="546">
        <f>SUM(AB19:AD19)</f>
        <v>7</v>
      </c>
      <c r="H30" s="546">
        <f>AE19</f>
        <v>13</v>
      </c>
      <c r="I30" s="546">
        <f>AF19</f>
        <v>3</v>
      </c>
      <c r="J30" s="546">
        <f>SUM(AG19:AH19)</f>
        <v>4</v>
      </c>
      <c r="K30" s="547">
        <f>SUM(B30:J30)</f>
        <v>48</v>
      </c>
      <c r="N30" s="620"/>
      <c r="O30" s="620"/>
      <c r="P30" s="620"/>
      <c r="Q30" s="620"/>
      <c r="R30" s="620"/>
      <c r="S30" s="620"/>
      <c r="T30" s="620"/>
      <c r="U30" s="620"/>
      <c r="V30" s="620"/>
      <c r="W30" s="620"/>
      <c r="X30" s="620"/>
      <c r="Y30" s="620"/>
      <c r="Z30" s="620"/>
      <c r="AA30" s="620"/>
      <c r="AB30" s="620"/>
      <c r="AC30" s="620"/>
      <c r="AD30" s="620"/>
      <c r="AE30" s="620"/>
      <c r="AF30" s="620"/>
      <c r="AG30" s="620"/>
      <c r="AH30" s="620"/>
      <c r="AI30" s="620"/>
    </row>
    <row r="31" spans="1:35" s="21" customFormat="1" ht="18" customHeight="1" x14ac:dyDescent="0.15">
      <c r="A31" s="973"/>
      <c r="B31" s="549">
        <f t="shared" ref="B31:I31" si="28">B30/B$34</f>
        <v>4.9668874172185433E-3</v>
      </c>
      <c r="C31" s="549">
        <f t="shared" si="28"/>
        <v>2.3364485981308409E-3</v>
      </c>
      <c r="D31" s="549">
        <f t="shared" si="28"/>
        <v>1.5564202334630351E-3</v>
      </c>
      <c r="E31" s="549">
        <f t="shared" si="28"/>
        <v>7.266121707538601E-3</v>
      </c>
      <c r="F31" s="549">
        <f t="shared" si="28"/>
        <v>1.890359168241966E-3</v>
      </c>
      <c r="G31" s="549">
        <f t="shared" si="28"/>
        <v>2.2019502988361119E-3</v>
      </c>
      <c r="H31" s="549">
        <f t="shared" si="28"/>
        <v>4.1573393028461782E-3</v>
      </c>
      <c r="I31" s="549">
        <f t="shared" si="28"/>
        <v>2.0590253946465341E-3</v>
      </c>
      <c r="J31" s="549">
        <f t="shared" ref="J31" si="29">J30/J$34</f>
        <v>3.0935808197989174E-3</v>
      </c>
      <c r="K31" s="549">
        <f>K30/K$34</f>
        <v>3.2017075773745998E-3</v>
      </c>
      <c r="N31" s="620"/>
      <c r="O31" s="620"/>
      <c r="P31" s="620"/>
      <c r="Q31" s="620"/>
      <c r="R31" s="620"/>
      <c r="S31" s="620"/>
      <c r="T31" s="620"/>
      <c r="U31" s="620"/>
      <c r="V31" s="620"/>
      <c r="W31" s="620"/>
      <c r="X31" s="620"/>
      <c r="Y31" s="620"/>
      <c r="Z31" s="620"/>
      <c r="AA31" s="620"/>
      <c r="AB31" s="620"/>
      <c r="AC31" s="620"/>
      <c r="AD31" s="620"/>
      <c r="AE31" s="620"/>
      <c r="AF31" s="620"/>
      <c r="AG31" s="620"/>
      <c r="AH31" s="620"/>
      <c r="AI31" s="620"/>
    </row>
    <row r="32" spans="1:35" s="21" customFormat="1" ht="18" customHeight="1" x14ac:dyDescent="0.15">
      <c r="A32" s="972" t="s">
        <v>584</v>
      </c>
      <c r="B32" s="546">
        <f>SUM(N20:P21)</f>
        <v>12</v>
      </c>
      <c r="C32" s="546">
        <f>SUM(Q20:R21)</f>
        <v>24</v>
      </c>
      <c r="D32" s="546">
        <f>SUM(S20:V21)</f>
        <v>20</v>
      </c>
      <c r="E32" s="546">
        <f>SUM(W20:Y21)</f>
        <v>21</v>
      </c>
      <c r="F32" s="546">
        <f>SUM(Z20:AA21)</f>
        <v>6</v>
      </c>
      <c r="G32" s="546">
        <f>SUM(AB20:AD21)</f>
        <v>38</v>
      </c>
      <c r="H32" s="546">
        <f>SUM(AE20:AE21)</f>
        <v>30</v>
      </c>
      <c r="I32" s="546">
        <f>SUM(AF20:AF21)</f>
        <v>12</v>
      </c>
      <c r="J32" s="546">
        <f>SUM(AG20:AH21)</f>
        <v>16</v>
      </c>
      <c r="K32" s="547">
        <f>SUM(B32:J32)</f>
        <v>179</v>
      </c>
      <c r="N32" s="620"/>
      <c r="O32" s="620"/>
      <c r="P32" s="620"/>
      <c r="Q32" s="620"/>
      <c r="R32" s="620"/>
      <c r="S32" s="620"/>
      <c r="T32" s="620"/>
      <c r="U32" s="620"/>
      <c r="V32" s="620"/>
      <c r="W32" s="620"/>
      <c r="X32" s="620"/>
      <c r="Y32" s="620"/>
      <c r="Z32" s="620"/>
      <c r="AA32" s="620"/>
      <c r="AB32" s="620"/>
      <c r="AC32" s="620"/>
      <c r="AD32" s="620"/>
      <c r="AE32" s="620"/>
      <c r="AF32" s="620"/>
      <c r="AG32" s="620"/>
      <c r="AH32" s="620"/>
      <c r="AI32" s="620"/>
    </row>
    <row r="33" spans="1:35" s="21" customFormat="1" ht="18" customHeight="1" x14ac:dyDescent="0.15">
      <c r="A33" s="973"/>
      <c r="B33" s="549">
        <f t="shared" ref="B33:I33" si="30">B32/B$34</f>
        <v>9.9337748344370865E-3</v>
      </c>
      <c r="C33" s="549">
        <f t="shared" si="30"/>
        <v>1.8691588785046728E-2</v>
      </c>
      <c r="D33" s="549">
        <f t="shared" si="30"/>
        <v>1.556420233463035E-2</v>
      </c>
      <c r="E33" s="549">
        <f t="shared" si="30"/>
        <v>1.9073569482288829E-2</v>
      </c>
      <c r="F33" s="549">
        <f t="shared" si="30"/>
        <v>5.6710775047258983E-3</v>
      </c>
      <c r="G33" s="549">
        <f t="shared" si="30"/>
        <v>1.1953444479396037E-2</v>
      </c>
      <c r="H33" s="549">
        <f t="shared" si="30"/>
        <v>9.5938599296450273E-3</v>
      </c>
      <c r="I33" s="549">
        <f t="shared" si="30"/>
        <v>8.2361015785861365E-3</v>
      </c>
      <c r="J33" s="549">
        <f t="shared" ref="J33" si="31">J32/J$34</f>
        <v>1.237432327919567E-2</v>
      </c>
      <c r="K33" s="549">
        <f>K32/K$34</f>
        <v>1.1939701173959445E-2</v>
      </c>
      <c r="N33" s="620"/>
      <c r="O33" s="620"/>
      <c r="P33" s="620"/>
      <c r="Q33" s="620"/>
      <c r="R33" s="620"/>
      <c r="S33" s="620"/>
      <c r="T33" s="620"/>
      <c r="U33" s="620"/>
      <c r="V33" s="620"/>
      <c r="W33" s="620"/>
      <c r="X33" s="620"/>
      <c r="Y33" s="620"/>
      <c r="Z33" s="620"/>
      <c r="AA33" s="620"/>
      <c r="AB33" s="620"/>
      <c r="AC33" s="620"/>
      <c r="AD33" s="620"/>
      <c r="AE33" s="620"/>
      <c r="AF33" s="620"/>
      <c r="AG33" s="620"/>
      <c r="AH33" s="620"/>
      <c r="AI33" s="620"/>
    </row>
    <row r="34" spans="1:35" s="21" customFormat="1" ht="18" customHeight="1" x14ac:dyDescent="0.15">
      <c r="A34" s="971" t="s">
        <v>161</v>
      </c>
      <c r="B34" s="550">
        <f>SUM(B6,B8,B10,B12,B14,B16,B18,B20,B22,B24,B26,B28,B30,B32)</f>
        <v>1208</v>
      </c>
      <c r="C34" s="550">
        <f t="shared" ref="C34:J35" si="32">SUM(C6,C8,C10,C12,C14,C16,C18,C20,C22,C24,C26,C28,C30,C32)</f>
        <v>1284</v>
      </c>
      <c r="D34" s="550">
        <f t="shared" si="32"/>
        <v>1285</v>
      </c>
      <c r="E34" s="550">
        <f t="shared" si="32"/>
        <v>1101</v>
      </c>
      <c r="F34" s="550">
        <f t="shared" si="32"/>
        <v>1058</v>
      </c>
      <c r="G34" s="550">
        <f t="shared" si="32"/>
        <v>3179</v>
      </c>
      <c r="H34" s="550">
        <f t="shared" si="32"/>
        <v>3127</v>
      </c>
      <c r="I34" s="550">
        <f t="shared" si="32"/>
        <v>1457</v>
      </c>
      <c r="J34" s="550">
        <f t="shared" si="32"/>
        <v>1293</v>
      </c>
      <c r="K34" s="551">
        <f>SUM(B34:J34)</f>
        <v>14992</v>
      </c>
      <c r="N34" s="620"/>
      <c r="O34" s="620"/>
      <c r="P34" s="620"/>
      <c r="Q34" s="620"/>
      <c r="R34" s="620"/>
      <c r="S34" s="620"/>
      <c r="T34" s="620"/>
      <c r="U34" s="620"/>
      <c r="V34" s="620"/>
      <c r="W34" s="620"/>
      <c r="X34" s="620"/>
      <c r="Y34" s="620"/>
      <c r="Z34" s="620"/>
      <c r="AA34" s="620"/>
      <c r="AB34" s="620"/>
      <c r="AC34" s="620"/>
      <c r="AD34" s="620"/>
      <c r="AE34" s="620"/>
      <c r="AF34" s="620"/>
      <c r="AG34" s="620"/>
      <c r="AH34" s="620"/>
      <c r="AI34" s="620"/>
    </row>
    <row r="35" spans="1:35" s="21" customFormat="1" ht="18" customHeight="1" x14ac:dyDescent="0.15">
      <c r="A35" s="993"/>
      <c r="B35" s="552">
        <f>SUM(B7,B9,B11,B13,B15,B17,B19,B21,B23,B25,B27,B29,B31,B33)</f>
        <v>1</v>
      </c>
      <c r="C35" s="552">
        <f t="shared" si="32"/>
        <v>0.99999999999999978</v>
      </c>
      <c r="D35" s="552">
        <f t="shared" si="32"/>
        <v>1</v>
      </c>
      <c r="E35" s="552">
        <f t="shared" si="32"/>
        <v>1</v>
      </c>
      <c r="F35" s="552">
        <f t="shared" si="32"/>
        <v>1</v>
      </c>
      <c r="G35" s="552">
        <f t="shared" si="32"/>
        <v>0.99999999999999978</v>
      </c>
      <c r="H35" s="552">
        <f t="shared" si="32"/>
        <v>1</v>
      </c>
      <c r="I35" s="552">
        <f t="shared" si="32"/>
        <v>1</v>
      </c>
      <c r="J35" s="552">
        <f t="shared" si="32"/>
        <v>1</v>
      </c>
      <c r="K35" s="552">
        <f>SUM(K7,K9,K11,K13,K15,K17,K19,K21,K23,K25,K27,K29,K31,K33)</f>
        <v>1</v>
      </c>
      <c r="N35" s="620"/>
      <c r="O35" s="620"/>
      <c r="P35" s="620"/>
      <c r="Q35" s="620"/>
      <c r="R35" s="620"/>
      <c r="S35" s="620"/>
      <c r="T35" s="620"/>
      <c r="U35" s="620"/>
      <c r="V35" s="620"/>
      <c r="W35" s="620"/>
      <c r="X35" s="620"/>
      <c r="Y35" s="620"/>
      <c r="Z35" s="620"/>
      <c r="AA35" s="620"/>
      <c r="AB35" s="620"/>
      <c r="AC35" s="620"/>
      <c r="AD35" s="620"/>
      <c r="AE35" s="620"/>
      <c r="AF35" s="620"/>
      <c r="AG35" s="620"/>
      <c r="AH35" s="620"/>
      <c r="AI35" s="620"/>
    </row>
  </sheetData>
  <mergeCells count="16">
    <mergeCell ref="A28:A29"/>
    <mergeCell ref="A30:A31"/>
    <mergeCell ref="A32:A33"/>
    <mergeCell ref="A34:A35"/>
    <mergeCell ref="A16:A17"/>
    <mergeCell ref="A18:A19"/>
    <mergeCell ref="A20:A21"/>
    <mergeCell ref="A22:A23"/>
    <mergeCell ref="A24:A25"/>
    <mergeCell ref="A26:A27"/>
    <mergeCell ref="A14:A15"/>
    <mergeCell ref="A4:A5"/>
    <mergeCell ref="A6:A7"/>
    <mergeCell ref="A8:A9"/>
    <mergeCell ref="A10:A11"/>
    <mergeCell ref="A12:A13"/>
  </mergeCells>
  <phoneticPr fontId="2"/>
  <printOptions horizontalCentered="1"/>
  <pageMargins left="0.70866141732283472" right="0.70866141732283472" top="0.74803149606299213" bottom="0.74803149606299213"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5057" r:id="rId4" name="Button 1">
              <controlPr defaultSize="0" print="0" autoFill="0" autoPict="0" macro="[0]!データ削除_疾患名区分入院時住所地">
                <anchor moveWithCells="1" sizeWithCells="1">
                  <from>
                    <xdr:col>12</xdr:col>
                    <xdr:colOff>28575</xdr:colOff>
                    <xdr:row>24</xdr:row>
                    <xdr:rowOff>28575</xdr:rowOff>
                  </from>
                  <to>
                    <xdr:col>15</xdr:col>
                    <xdr:colOff>238125</xdr:colOff>
                    <xdr:row>26</xdr:row>
                    <xdr:rowOff>190500</xdr:rowOff>
                  </to>
                </anchor>
              </controlPr>
            </control>
          </mc:Choice>
        </mc:AlternateContent>
      </controls>
    </mc:Choice>
  </mc:AlternateContent>
  <tableParts count="1">
    <tablePart r:id="rId5"/>
  </tableParts>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1">
    <tabColor theme="5" tint="0.39997558519241921"/>
    <pageSetUpPr fitToPage="1"/>
  </sheetPr>
  <dimension ref="A1:AI47"/>
  <sheetViews>
    <sheetView showGridLines="0" view="pageBreakPreview" topLeftCell="B1" zoomScale="80" zoomScaleNormal="80" zoomScaleSheetLayoutView="80" workbookViewId="0">
      <selection activeCell="M1" sqref="M1:AI1048576"/>
    </sheetView>
  </sheetViews>
  <sheetFormatPr defaultColWidth="13.75" defaultRowHeight="18.75" x14ac:dyDescent="0.15"/>
  <cols>
    <col min="1" max="1" width="15.625" style="537" customWidth="1"/>
    <col min="2" max="11" width="8.75" style="537" customWidth="1"/>
    <col min="12" max="12" width="7.25" style="537" customWidth="1"/>
    <col min="13" max="13" width="10.375" style="537" hidden="1" customWidth="1"/>
    <col min="14" max="14" width="11" style="537" hidden="1" customWidth="1"/>
    <col min="15" max="16" width="12.875" style="537" hidden="1" customWidth="1"/>
    <col min="17" max="17" width="9.625" style="537" hidden="1" customWidth="1"/>
    <col min="18" max="18" width="12.875" style="537" hidden="1" customWidth="1"/>
    <col min="19" max="19" width="14.75" style="537" hidden="1" customWidth="1"/>
    <col min="20" max="20" width="16.625" style="537" hidden="1" customWidth="1"/>
    <col min="21" max="22" width="12.875" style="537" hidden="1" customWidth="1"/>
    <col min="23" max="23" width="16.625" style="537" hidden="1" customWidth="1"/>
    <col min="24" max="24" width="14.75" style="537" hidden="1" customWidth="1"/>
    <col min="25" max="27" width="12.875" style="537" hidden="1" customWidth="1"/>
    <col min="28" max="31" width="11" style="537" hidden="1" customWidth="1"/>
    <col min="32" max="32" width="9.625" style="537" hidden="1" customWidth="1"/>
    <col min="33" max="33" width="11" style="537" hidden="1" customWidth="1"/>
    <col min="34" max="34" width="14.75" style="537" hidden="1" customWidth="1"/>
    <col min="35" max="35" width="13.75" style="537" hidden="1" customWidth="1"/>
    <col min="36" max="37" width="13.75" style="537" customWidth="1"/>
    <col min="38" max="16384" width="13.75" style="537"/>
  </cols>
  <sheetData>
    <row r="1" spans="1:35" s="3" customFormat="1" ht="19.5" x14ac:dyDescent="0.15">
      <c r="A1" s="2" t="s">
        <v>468</v>
      </c>
    </row>
    <row r="2" spans="1:35" ht="19.5" thickBot="1" x14ac:dyDescent="0.2">
      <c r="A2" s="4"/>
    </row>
    <row r="3" spans="1:35" ht="39" thickTop="1" thickBot="1" x14ac:dyDescent="0.2">
      <c r="A3" s="545"/>
      <c r="B3" s="545" t="s">
        <v>387</v>
      </c>
      <c r="C3" s="545" t="s">
        <v>388</v>
      </c>
      <c r="D3" s="545" t="s">
        <v>389</v>
      </c>
      <c r="E3" s="545" t="s">
        <v>390</v>
      </c>
      <c r="F3" s="545" t="s">
        <v>391</v>
      </c>
      <c r="G3" s="545" t="s">
        <v>392</v>
      </c>
      <c r="H3" s="545" t="s">
        <v>393</v>
      </c>
      <c r="I3" s="545" t="s">
        <v>394</v>
      </c>
      <c r="J3" s="571" t="s">
        <v>465</v>
      </c>
      <c r="K3" s="545" t="s">
        <v>62</v>
      </c>
      <c r="M3" s="737" t="s">
        <v>373</v>
      </c>
      <c r="N3" s="640" t="s">
        <v>395</v>
      </c>
      <c r="O3" s="640" t="s">
        <v>396</v>
      </c>
      <c r="P3" s="640" t="s">
        <v>397</v>
      </c>
      <c r="Q3" s="640" t="s">
        <v>398</v>
      </c>
      <c r="R3" s="640" t="s">
        <v>399</v>
      </c>
      <c r="S3" s="640" t="s">
        <v>400</v>
      </c>
      <c r="T3" s="640" t="s">
        <v>401</v>
      </c>
      <c r="U3" s="640" t="s">
        <v>402</v>
      </c>
      <c r="V3" s="640" t="s">
        <v>403</v>
      </c>
      <c r="W3" s="640" t="s">
        <v>404</v>
      </c>
      <c r="X3" s="640" t="s">
        <v>565</v>
      </c>
      <c r="Y3" s="640" t="s">
        <v>566</v>
      </c>
      <c r="Z3" s="640" t="s">
        <v>567</v>
      </c>
      <c r="AA3" s="640" t="s">
        <v>568</v>
      </c>
      <c r="AB3" s="640" t="s">
        <v>569</v>
      </c>
      <c r="AC3" s="640" t="s">
        <v>570</v>
      </c>
      <c r="AD3" s="640" t="s">
        <v>571</v>
      </c>
      <c r="AE3" s="640" t="s">
        <v>572</v>
      </c>
      <c r="AF3" s="640" t="s">
        <v>573</v>
      </c>
      <c r="AG3" s="640" t="s">
        <v>620</v>
      </c>
      <c r="AH3" s="670" t="s">
        <v>621</v>
      </c>
      <c r="AI3" s="537" t="s">
        <v>609</v>
      </c>
    </row>
    <row r="4" spans="1:35" s="21" customFormat="1" ht="18.75" customHeight="1" thickTop="1" x14ac:dyDescent="0.15">
      <c r="A4" s="976" t="s">
        <v>60</v>
      </c>
      <c r="B4" s="546">
        <f>SUM(N4:P4)</f>
        <v>159</v>
      </c>
      <c r="C4" s="546">
        <f>SUM(Q4:R4)</f>
        <v>150</v>
      </c>
      <c r="D4" s="546">
        <f>SUM(S4:V4)</f>
        <v>165</v>
      </c>
      <c r="E4" s="546">
        <f>SUM(W4:Y4)</f>
        <v>163</v>
      </c>
      <c r="F4" s="546">
        <f>SUM(Z4:AA4)</f>
        <v>109</v>
      </c>
      <c r="G4" s="546">
        <f>SUM(AB4:AD4)</f>
        <v>231</v>
      </c>
      <c r="H4" s="546">
        <f>AE4</f>
        <v>413</v>
      </c>
      <c r="I4" s="546">
        <f>AF4</f>
        <v>175</v>
      </c>
      <c r="J4" s="546">
        <f>SUM(AG4:AH4)</f>
        <v>147</v>
      </c>
      <c r="K4" s="547">
        <f>SUM(B4:J4)</f>
        <v>1712</v>
      </c>
      <c r="M4" s="736" t="s">
        <v>182</v>
      </c>
      <c r="N4" s="660">
        <v>38</v>
      </c>
      <c r="O4" s="660">
        <v>67</v>
      </c>
      <c r="P4" s="660">
        <v>54</v>
      </c>
      <c r="Q4" s="660">
        <v>76</v>
      </c>
      <c r="R4" s="660">
        <v>74</v>
      </c>
      <c r="S4" s="660">
        <v>58</v>
      </c>
      <c r="T4" s="660">
        <v>35</v>
      </c>
      <c r="U4" s="660">
        <v>43</v>
      </c>
      <c r="V4" s="660">
        <v>29</v>
      </c>
      <c r="W4" s="660">
        <v>90</v>
      </c>
      <c r="X4" s="660">
        <v>58</v>
      </c>
      <c r="Y4" s="660">
        <v>15</v>
      </c>
      <c r="Z4" s="660">
        <v>53</v>
      </c>
      <c r="AA4" s="660">
        <v>56</v>
      </c>
      <c r="AB4" s="660">
        <v>71</v>
      </c>
      <c r="AC4" s="660">
        <v>88</v>
      </c>
      <c r="AD4" s="660">
        <v>72</v>
      </c>
      <c r="AE4" s="660">
        <v>413</v>
      </c>
      <c r="AF4" s="660">
        <v>175</v>
      </c>
      <c r="AG4" s="660">
        <v>144</v>
      </c>
      <c r="AH4" s="671">
        <v>3</v>
      </c>
      <c r="AI4" s="85"/>
    </row>
    <row r="5" spans="1:35" s="21" customFormat="1" ht="18.75" customHeight="1" x14ac:dyDescent="0.15">
      <c r="A5" s="994"/>
      <c r="B5" s="549">
        <f t="shared" ref="B5:I5" si="0">B4/B$36</f>
        <v>0.1316225165562914</v>
      </c>
      <c r="C5" s="549">
        <f t="shared" si="0"/>
        <v>0.11682242990654206</v>
      </c>
      <c r="D5" s="549">
        <f t="shared" si="0"/>
        <v>0.12840466926070038</v>
      </c>
      <c r="E5" s="549">
        <f t="shared" si="0"/>
        <v>0.14804722979109899</v>
      </c>
      <c r="F5" s="549">
        <f t="shared" si="0"/>
        <v>0.10302457466918714</v>
      </c>
      <c r="G5" s="549">
        <f t="shared" si="0"/>
        <v>7.2664359861591699E-2</v>
      </c>
      <c r="H5" s="549">
        <f t="shared" si="0"/>
        <v>0.13207547169811321</v>
      </c>
      <c r="I5" s="549">
        <f t="shared" si="0"/>
        <v>0.12010981468771448</v>
      </c>
      <c r="J5" s="549">
        <f t="shared" ref="J5" si="1">J4/J$36</f>
        <v>0.1136890951276102</v>
      </c>
      <c r="K5" s="549">
        <f>K4/K$36</f>
        <v>0.11419423692636073</v>
      </c>
      <c r="M5" s="668" t="s">
        <v>183</v>
      </c>
      <c r="N5" s="663">
        <v>33</v>
      </c>
      <c r="O5" s="663">
        <v>64</v>
      </c>
      <c r="P5" s="663">
        <v>42</v>
      </c>
      <c r="Q5" s="663">
        <v>91</v>
      </c>
      <c r="R5" s="663">
        <v>90</v>
      </c>
      <c r="S5" s="663">
        <v>64</v>
      </c>
      <c r="T5" s="663">
        <v>45</v>
      </c>
      <c r="U5" s="663">
        <v>44</v>
      </c>
      <c r="V5" s="663">
        <v>44</v>
      </c>
      <c r="W5" s="663">
        <v>105</v>
      </c>
      <c r="X5" s="663">
        <v>52</v>
      </c>
      <c r="Y5" s="663">
        <v>25</v>
      </c>
      <c r="Z5" s="663">
        <v>73</v>
      </c>
      <c r="AA5" s="663">
        <v>88</v>
      </c>
      <c r="AB5" s="663">
        <v>79</v>
      </c>
      <c r="AC5" s="663">
        <v>102</v>
      </c>
      <c r="AD5" s="663">
        <v>117</v>
      </c>
      <c r="AE5" s="663">
        <v>534</v>
      </c>
      <c r="AF5" s="663">
        <v>194</v>
      </c>
      <c r="AG5" s="663">
        <v>144</v>
      </c>
      <c r="AH5" s="672">
        <v>11</v>
      </c>
      <c r="AI5" s="85"/>
    </row>
    <row r="6" spans="1:35" s="21" customFormat="1" ht="18.75" customHeight="1" x14ac:dyDescent="0.15">
      <c r="A6" s="563" t="s">
        <v>416</v>
      </c>
      <c r="B6" s="546">
        <f>SUM(N5:P5)</f>
        <v>139</v>
      </c>
      <c r="C6" s="546">
        <f>SUM(Q5:R5)</f>
        <v>181</v>
      </c>
      <c r="D6" s="546">
        <f>SUM(S5:V5)</f>
        <v>197</v>
      </c>
      <c r="E6" s="546">
        <f>SUM(W5:Y5)</f>
        <v>182</v>
      </c>
      <c r="F6" s="546">
        <f>SUM(Z5:AA5)</f>
        <v>161</v>
      </c>
      <c r="G6" s="546">
        <f>SUM(AB5:AD5)</f>
        <v>298</v>
      </c>
      <c r="H6" s="546">
        <f>AE5</f>
        <v>534</v>
      </c>
      <c r="I6" s="546">
        <f>AF5</f>
        <v>194</v>
      </c>
      <c r="J6" s="546">
        <f>SUM(AG5:AH5)</f>
        <v>155</v>
      </c>
      <c r="K6" s="547">
        <f>SUM(B6:J6)</f>
        <v>2041</v>
      </c>
      <c r="M6" s="667" t="s">
        <v>184</v>
      </c>
      <c r="N6" s="660">
        <v>26</v>
      </c>
      <c r="O6" s="660">
        <v>36</v>
      </c>
      <c r="P6" s="660">
        <v>24</v>
      </c>
      <c r="Q6" s="660">
        <v>43</v>
      </c>
      <c r="R6" s="660">
        <v>50</v>
      </c>
      <c r="S6" s="660">
        <v>26</v>
      </c>
      <c r="T6" s="660">
        <v>16</v>
      </c>
      <c r="U6" s="660">
        <v>23</v>
      </c>
      <c r="V6" s="660">
        <v>30</v>
      </c>
      <c r="W6" s="660">
        <v>51</v>
      </c>
      <c r="X6" s="660">
        <v>30</v>
      </c>
      <c r="Y6" s="660">
        <v>7</v>
      </c>
      <c r="Z6" s="660">
        <v>42</v>
      </c>
      <c r="AA6" s="660">
        <v>54</v>
      </c>
      <c r="AB6" s="660">
        <v>54</v>
      </c>
      <c r="AC6" s="660">
        <v>68</v>
      </c>
      <c r="AD6" s="660">
        <v>60</v>
      </c>
      <c r="AE6" s="660">
        <v>221</v>
      </c>
      <c r="AF6" s="660">
        <v>91</v>
      </c>
      <c r="AG6" s="660">
        <v>83</v>
      </c>
      <c r="AH6" s="671">
        <v>6</v>
      </c>
      <c r="AI6" s="85"/>
    </row>
    <row r="7" spans="1:35" s="21" customFormat="1" ht="18.75" customHeight="1" x14ac:dyDescent="0.15">
      <c r="A7" s="564" t="s">
        <v>417</v>
      </c>
      <c r="B7" s="549">
        <f t="shared" ref="B7:I7" si="2">B6/B$36</f>
        <v>0.11506622516556292</v>
      </c>
      <c r="C7" s="549">
        <f t="shared" si="2"/>
        <v>0.1409657320872274</v>
      </c>
      <c r="D7" s="549">
        <f t="shared" si="2"/>
        <v>0.15330739299610896</v>
      </c>
      <c r="E7" s="549">
        <f t="shared" si="2"/>
        <v>0.16530426884650318</v>
      </c>
      <c r="F7" s="549">
        <f t="shared" si="2"/>
        <v>0.15217391304347827</v>
      </c>
      <c r="G7" s="549">
        <f t="shared" si="2"/>
        <v>9.3740169864737335E-2</v>
      </c>
      <c r="H7" s="549">
        <f t="shared" si="2"/>
        <v>0.17077070674768149</v>
      </c>
      <c r="I7" s="549">
        <f t="shared" si="2"/>
        <v>0.13315030885380919</v>
      </c>
      <c r="J7" s="549">
        <f t="shared" ref="J7" si="3">J6/J$36</f>
        <v>0.11987625676720805</v>
      </c>
      <c r="K7" s="549">
        <f>K6/K$36</f>
        <v>0.13613927427961581</v>
      </c>
      <c r="M7" s="668" t="s">
        <v>185</v>
      </c>
      <c r="N7" s="663">
        <v>33</v>
      </c>
      <c r="O7" s="663">
        <v>64</v>
      </c>
      <c r="P7" s="663">
        <v>36</v>
      </c>
      <c r="Q7" s="663">
        <v>84</v>
      </c>
      <c r="R7" s="663">
        <v>57</v>
      </c>
      <c r="S7" s="663">
        <v>42</v>
      </c>
      <c r="T7" s="663">
        <v>23</v>
      </c>
      <c r="U7" s="663">
        <v>27</v>
      </c>
      <c r="V7" s="663">
        <v>33</v>
      </c>
      <c r="W7" s="663">
        <v>56</v>
      </c>
      <c r="X7" s="663">
        <v>29</v>
      </c>
      <c r="Y7" s="663">
        <v>5</v>
      </c>
      <c r="Z7" s="663">
        <v>41</v>
      </c>
      <c r="AA7" s="663">
        <v>57</v>
      </c>
      <c r="AB7" s="663">
        <v>92</v>
      </c>
      <c r="AC7" s="663">
        <v>127</v>
      </c>
      <c r="AD7" s="663">
        <v>108</v>
      </c>
      <c r="AE7" s="663">
        <v>269</v>
      </c>
      <c r="AF7" s="663">
        <v>136</v>
      </c>
      <c r="AG7" s="663">
        <v>106</v>
      </c>
      <c r="AH7" s="672">
        <v>9</v>
      </c>
      <c r="AI7" s="85"/>
    </row>
    <row r="8" spans="1:35" s="21" customFormat="1" ht="18.75" customHeight="1" x14ac:dyDescent="0.15">
      <c r="A8" s="563" t="s">
        <v>418</v>
      </c>
      <c r="B8" s="546">
        <f>SUM(N6:P6)</f>
        <v>86</v>
      </c>
      <c r="C8" s="546">
        <f>SUM(Q6:R6)</f>
        <v>93</v>
      </c>
      <c r="D8" s="546">
        <f>SUM(S6:V6)</f>
        <v>95</v>
      </c>
      <c r="E8" s="546">
        <f>SUM(W6:Y6)</f>
        <v>88</v>
      </c>
      <c r="F8" s="546">
        <f>SUM(Z6:AA6)</f>
        <v>96</v>
      </c>
      <c r="G8" s="546">
        <f>SUM(AB6:AD6)</f>
        <v>182</v>
      </c>
      <c r="H8" s="546">
        <f>AE6</f>
        <v>221</v>
      </c>
      <c r="I8" s="546">
        <f>AF6</f>
        <v>91</v>
      </c>
      <c r="J8" s="546">
        <f>SUM(AG6:AH6)</f>
        <v>89</v>
      </c>
      <c r="K8" s="547">
        <f>SUM(B8:J8)</f>
        <v>1041</v>
      </c>
      <c r="M8" s="667" t="s">
        <v>186</v>
      </c>
      <c r="N8" s="660">
        <v>29</v>
      </c>
      <c r="O8" s="660">
        <v>20</v>
      </c>
      <c r="P8" s="660">
        <v>22</v>
      </c>
      <c r="Q8" s="660">
        <v>52</v>
      </c>
      <c r="R8" s="660">
        <v>35</v>
      </c>
      <c r="S8" s="660">
        <v>26</v>
      </c>
      <c r="T8" s="660">
        <v>19</v>
      </c>
      <c r="U8" s="660">
        <v>25</v>
      </c>
      <c r="V8" s="660">
        <v>19</v>
      </c>
      <c r="W8" s="660">
        <v>36</v>
      </c>
      <c r="X8" s="660">
        <v>20</v>
      </c>
      <c r="Y8" s="660">
        <v>3</v>
      </c>
      <c r="Z8" s="660">
        <v>24</v>
      </c>
      <c r="AA8" s="660">
        <v>31</v>
      </c>
      <c r="AB8" s="660">
        <v>67</v>
      </c>
      <c r="AC8" s="660">
        <v>106</v>
      </c>
      <c r="AD8" s="660">
        <v>69</v>
      </c>
      <c r="AE8" s="660">
        <v>173</v>
      </c>
      <c r="AF8" s="660">
        <v>80</v>
      </c>
      <c r="AG8" s="660">
        <v>62</v>
      </c>
      <c r="AH8" s="671">
        <v>3</v>
      </c>
      <c r="AI8" s="85"/>
    </row>
    <row r="9" spans="1:35" s="21" customFormat="1" ht="18.75" customHeight="1" x14ac:dyDescent="0.15">
      <c r="A9" s="564" t="s">
        <v>419</v>
      </c>
      <c r="B9" s="549">
        <f t="shared" ref="B9:I9" si="4">B8/B$36</f>
        <v>7.1192052980132453E-2</v>
      </c>
      <c r="C9" s="549">
        <f t="shared" si="4"/>
        <v>7.2429906542056069E-2</v>
      </c>
      <c r="D9" s="549">
        <f t="shared" si="4"/>
        <v>7.3929961089494164E-2</v>
      </c>
      <c r="E9" s="549">
        <f t="shared" si="4"/>
        <v>7.9927338782924615E-2</v>
      </c>
      <c r="F9" s="549">
        <f t="shared" si="4"/>
        <v>9.0737240075614373E-2</v>
      </c>
      <c r="G9" s="549">
        <f t="shared" si="4"/>
        <v>5.7250707769738909E-2</v>
      </c>
      <c r="H9" s="549">
        <f t="shared" si="4"/>
        <v>7.0674768148385039E-2</v>
      </c>
      <c r="I9" s="549">
        <f t="shared" si="4"/>
        <v>6.2457103637611533E-2</v>
      </c>
      <c r="J9" s="549">
        <f t="shared" ref="J9" si="5">J8/J$36</f>
        <v>6.8832173240525915E-2</v>
      </c>
      <c r="K9" s="549">
        <f>K8/K$36</f>
        <v>6.9437033084311636E-2</v>
      </c>
      <c r="M9" s="668" t="s">
        <v>187</v>
      </c>
      <c r="N9" s="663">
        <v>11</v>
      </c>
      <c r="O9" s="663">
        <v>23</v>
      </c>
      <c r="P9" s="663">
        <v>15</v>
      </c>
      <c r="Q9" s="663">
        <v>37</v>
      </c>
      <c r="R9" s="663">
        <v>40</v>
      </c>
      <c r="S9" s="663">
        <v>12</v>
      </c>
      <c r="T9" s="663">
        <v>11</v>
      </c>
      <c r="U9" s="663">
        <v>11</v>
      </c>
      <c r="V9" s="663">
        <v>14</v>
      </c>
      <c r="W9" s="663">
        <v>31</v>
      </c>
      <c r="X9" s="663">
        <v>17</v>
      </c>
      <c r="Y9" s="663">
        <v>4</v>
      </c>
      <c r="Z9" s="663">
        <v>41</v>
      </c>
      <c r="AA9" s="663">
        <v>30</v>
      </c>
      <c r="AB9" s="663">
        <v>73</v>
      </c>
      <c r="AC9" s="663">
        <v>69</v>
      </c>
      <c r="AD9" s="663">
        <v>67</v>
      </c>
      <c r="AE9" s="663">
        <v>132</v>
      </c>
      <c r="AF9" s="663">
        <v>69</v>
      </c>
      <c r="AG9" s="663">
        <v>50</v>
      </c>
      <c r="AH9" s="672">
        <v>2</v>
      </c>
      <c r="AI9" s="85"/>
    </row>
    <row r="10" spans="1:35" s="21" customFormat="1" ht="18.75" customHeight="1" x14ac:dyDescent="0.15">
      <c r="A10" s="563" t="s">
        <v>420</v>
      </c>
      <c r="B10" s="546">
        <f>SUM(N7:P7)</f>
        <v>133</v>
      </c>
      <c r="C10" s="546">
        <f>SUM(Q7:R7)</f>
        <v>141</v>
      </c>
      <c r="D10" s="546">
        <f>SUM(S7:V7)</f>
        <v>125</v>
      </c>
      <c r="E10" s="546">
        <f>SUM(W7:Y7)</f>
        <v>90</v>
      </c>
      <c r="F10" s="546">
        <f>SUM(Z7:AA7)</f>
        <v>98</v>
      </c>
      <c r="G10" s="546">
        <f>SUM(AB7:AD7)</f>
        <v>327</v>
      </c>
      <c r="H10" s="546">
        <f>AE7</f>
        <v>269</v>
      </c>
      <c r="I10" s="546">
        <f>AF7</f>
        <v>136</v>
      </c>
      <c r="J10" s="546">
        <f>SUM(AG7:AH7)</f>
        <v>115</v>
      </c>
      <c r="K10" s="547">
        <f>SUM(B10:J10)</f>
        <v>1434</v>
      </c>
      <c r="M10" s="667" t="s">
        <v>188</v>
      </c>
      <c r="N10" s="660">
        <v>21</v>
      </c>
      <c r="O10" s="660">
        <v>22</v>
      </c>
      <c r="P10" s="660">
        <v>37</v>
      </c>
      <c r="Q10" s="660">
        <v>69</v>
      </c>
      <c r="R10" s="660">
        <v>45</v>
      </c>
      <c r="S10" s="660">
        <v>38</v>
      </c>
      <c r="T10" s="660">
        <v>24</v>
      </c>
      <c r="U10" s="660">
        <v>27</v>
      </c>
      <c r="V10" s="660">
        <v>24</v>
      </c>
      <c r="W10" s="660">
        <v>58</v>
      </c>
      <c r="X10" s="660">
        <v>20</v>
      </c>
      <c r="Y10" s="660">
        <v>7</v>
      </c>
      <c r="Z10" s="660">
        <v>28</v>
      </c>
      <c r="AA10" s="660">
        <v>53</v>
      </c>
      <c r="AB10" s="660">
        <v>90</v>
      </c>
      <c r="AC10" s="660">
        <v>136</v>
      </c>
      <c r="AD10" s="660">
        <v>117</v>
      </c>
      <c r="AE10" s="660">
        <v>244</v>
      </c>
      <c r="AF10" s="660">
        <v>112</v>
      </c>
      <c r="AG10" s="660">
        <v>84</v>
      </c>
      <c r="AH10" s="671">
        <v>5</v>
      </c>
      <c r="AI10" s="85"/>
    </row>
    <row r="11" spans="1:35" s="21" customFormat="1" ht="18.75" customHeight="1" x14ac:dyDescent="0.15">
      <c r="A11" s="564" t="s">
        <v>69</v>
      </c>
      <c r="B11" s="549">
        <f t="shared" ref="B11:I11" si="6">B10/B$36</f>
        <v>0.11009933774834436</v>
      </c>
      <c r="C11" s="549">
        <f t="shared" si="6"/>
        <v>0.10981308411214953</v>
      </c>
      <c r="D11" s="549">
        <f t="shared" si="6"/>
        <v>9.727626459143969E-2</v>
      </c>
      <c r="E11" s="549">
        <f t="shared" si="6"/>
        <v>8.1743869209809264E-2</v>
      </c>
      <c r="F11" s="549">
        <f t="shared" si="6"/>
        <v>9.2627599243856329E-2</v>
      </c>
      <c r="G11" s="549">
        <f t="shared" si="6"/>
        <v>0.10286253538848694</v>
      </c>
      <c r="H11" s="549">
        <f t="shared" si="6"/>
        <v>8.6024944035817077E-2</v>
      </c>
      <c r="I11" s="549">
        <f t="shared" si="6"/>
        <v>9.3342484557309535E-2</v>
      </c>
      <c r="J11" s="549">
        <f t="shared" ref="J11" si="7">J10/J$36</f>
        <v>8.8940448569218872E-2</v>
      </c>
      <c r="K11" s="549">
        <f>K10/K$36</f>
        <v>9.5651013874066174E-2</v>
      </c>
      <c r="M11" s="668" t="s">
        <v>189</v>
      </c>
      <c r="N11" s="663">
        <v>20</v>
      </c>
      <c r="O11" s="663">
        <v>21</v>
      </c>
      <c r="P11" s="663">
        <v>30</v>
      </c>
      <c r="Q11" s="663">
        <v>47</v>
      </c>
      <c r="R11" s="663">
        <v>37</v>
      </c>
      <c r="S11" s="663">
        <v>26</v>
      </c>
      <c r="T11" s="663">
        <v>16</v>
      </c>
      <c r="U11" s="663">
        <v>21</v>
      </c>
      <c r="V11" s="663">
        <v>16</v>
      </c>
      <c r="W11" s="663">
        <v>58</v>
      </c>
      <c r="X11" s="663">
        <v>23</v>
      </c>
      <c r="Y11" s="663">
        <v>6</v>
      </c>
      <c r="Z11" s="663">
        <v>23</v>
      </c>
      <c r="AA11" s="663">
        <v>28</v>
      </c>
      <c r="AB11" s="663">
        <v>61</v>
      </c>
      <c r="AC11" s="663">
        <v>93</v>
      </c>
      <c r="AD11" s="663">
        <v>75</v>
      </c>
      <c r="AE11" s="663">
        <v>192</v>
      </c>
      <c r="AF11" s="663">
        <v>74</v>
      </c>
      <c r="AG11" s="663">
        <v>60</v>
      </c>
      <c r="AH11" s="672">
        <v>8</v>
      </c>
      <c r="AI11" s="85"/>
    </row>
    <row r="12" spans="1:35" s="21" customFormat="1" ht="18.75" customHeight="1" x14ac:dyDescent="0.15">
      <c r="A12" s="563" t="s">
        <v>421</v>
      </c>
      <c r="B12" s="546">
        <f>SUM(N8:P8)</f>
        <v>71</v>
      </c>
      <c r="C12" s="546">
        <f>SUM(Q8:R8)</f>
        <v>87</v>
      </c>
      <c r="D12" s="546">
        <f>SUM(S8:V8)</f>
        <v>89</v>
      </c>
      <c r="E12" s="546">
        <f>SUM(W8:Y8)</f>
        <v>59</v>
      </c>
      <c r="F12" s="546">
        <f>SUM(Z8:AA8)</f>
        <v>55</v>
      </c>
      <c r="G12" s="546">
        <f>SUM(AB8:AD8)</f>
        <v>242</v>
      </c>
      <c r="H12" s="546">
        <f>AE8</f>
        <v>173</v>
      </c>
      <c r="I12" s="546">
        <f>AF8</f>
        <v>80</v>
      </c>
      <c r="J12" s="546">
        <f>SUM(AG8:AH8)</f>
        <v>65</v>
      </c>
      <c r="K12" s="547">
        <f>SUM(B12:J12)</f>
        <v>921</v>
      </c>
      <c r="M12" s="667" t="s">
        <v>190</v>
      </c>
      <c r="N12" s="660">
        <v>18</v>
      </c>
      <c r="O12" s="660">
        <v>20</v>
      </c>
      <c r="P12" s="660">
        <v>28</v>
      </c>
      <c r="Q12" s="660">
        <v>54</v>
      </c>
      <c r="R12" s="660">
        <v>26</v>
      </c>
      <c r="S12" s="660">
        <v>25</v>
      </c>
      <c r="T12" s="660">
        <v>11</v>
      </c>
      <c r="U12" s="660">
        <v>13</v>
      </c>
      <c r="V12" s="660">
        <v>7</v>
      </c>
      <c r="W12" s="660">
        <v>32</v>
      </c>
      <c r="X12" s="660">
        <v>13</v>
      </c>
      <c r="Y12" s="660">
        <v>1</v>
      </c>
      <c r="Z12" s="660">
        <v>22</v>
      </c>
      <c r="AA12" s="660">
        <v>17</v>
      </c>
      <c r="AB12" s="660">
        <v>51</v>
      </c>
      <c r="AC12" s="660">
        <v>83</v>
      </c>
      <c r="AD12" s="660">
        <v>50</v>
      </c>
      <c r="AE12" s="660">
        <v>130</v>
      </c>
      <c r="AF12" s="660">
        <v>65</v>
      </c>
      <c r="AG12" s="660">
        <v>89</v>
      </c>
      <c r="AH12" s="671">
        <v>3</v>
      </c>
      <c r="AI12" s="85"/>
    </row>
    <row r="13" spans="1:35" s="21" customFormat="1" ht="18.75" customHeight="1" x14ac:dyDescent="0.15">
      <c r="A13" s="564" t="s">
        <v>422</v>
      </c>
      <c r="B13" s="549">
        <f t="shared" ref="B13:I13" si="8">B12/B$36</f>
        <v>5.8774834437086095E-2</v>
      </c>
      <c r="C13" s="549">
        <f t="shared" si="8"/>
        <v>6.7757009345794386E-2</v>
      </c>
      <c r="D13" s="549">
        <f t="shared" si="8"/>
        <v>6.9260700389105062E-2</v>
      </c>
      <c r="E13" s="549">
        <f t="shared" si="8"/>
        <v>5.3587647593097185E-2</v>
      </c>
      <c r="F13" s="549">
        <f t="shared" si="8"/>
        <v>5.1984877126654061E-2</v>
      </c>
      <c r="G13" s="549">
        <f t="shared" si="8"/>
        <v>7.6124567474048443E-2</v>
      </c>
      <c r="H13" s="549">
        <f t="shared" si="8"/>
        <v>5.5324592260952987E-2</v>
      </c>
      <c r="I13" s="549">
        <f t="shared" si="8"/>
        <v>5.4907343857240908E-2</v>
      </c>
      <c r="J13" s="549">
        <f t="shared" ref="J13" si="9">J12/J$36</f>
        <v>5.0270688321732405E-2</v>
      </c>
      <c r="K13" s="549">
        <f>K12/K$36</f>
        <v>6.1432764140875132E-2</v>
      </c>
      <c r="M13" s="668" t="s">
        <v>191</v>
      </c>
      <c r="N13" s="663">
        <v>19</v>
      </c>
      <c r="O13" s="663">
        <v>16</v>
      </c>
      <c r="P13" s="663">
        <v>14</v>
      </c>
      <c r="Q13" s="663">
        <v>23</v>
      </c>
      <c r="R13" s="663">
        <v>19</v>
      </c>
      <c r="S13" s="663">
        <v>15</v>
      </c>
      <c r="T13" s="663">
        <v>7</v>
      </c>
      <c r="U13" s="663">
        <v>14</v>
      </c>
      <c r="V13" s="663">
        <v>11</v>
      </c>
      <c r="W13" s="663">
        <v>27</v>
      </c>
      <c r="X13" s="663">
        <v>9</v>
      </c>
      <c r="Y13" s="663">
        <v>3</v>
      </c>
      <c r="Z13" s="663">
        <v>20</v>
      </c>
      <c r="AA13" s="663">
        <v>18</v>
      </c>
      <c r="AB13" s="663">
        <v>45</v>
      </c>
      <c r="AC13" s="663">
        <v>56</v>
      </c>
      <c r="AD13" s="663">
        <v>50</v>
      </c>
      <c r="AE13" s="663">
        <v>106</v>
      </c>
      <c r="AF13" s="663">
        <v>49</v>
      </c>
      <c r="AG13" s="663">
        <v>47</v>
      </c>
      <c r="AH13" s="672">
        <v>9</v>
      </c>
      <c r="AI13" s="85"/>
    </row>
    <row r="14" spans="1:35" s="21" customFormat="1" ht="18.75" customHeight="1" x14ac:dyDescent="0.15">
      <c r="A14" s="563" t="s">
        <v>423</v>
      </c>
      <c r="B14" s="546">
        <f>SUM(N9:P9)</f>
        <v>49</v>
      </c>
      <c r="C14" s="546">
        <f>SUM(Q9:R9)</f>
        <v>77</v>
      </c>
      <c r="D14" s="546">
        <f>SUM(S9:V9)</f>
        <v>48</v>
      </c>
      <c r="E14" s="546">
        <f>SUM(W9:Y9)</f>
        <v>52</v>
      </c>
      <c r="F14" s="546">
        <f>SUM(Z9:AA9)</f>
        <v>71</v>
      </c>
      <c r="G14" s="546">
        <f>SUM(AB9:AD9)</f>
        <v>209</v>
      </c>
      <c r="H14" s="546">
        <f>AE9</f>
        <v>132</v>
      </c>
      <c r="I14" s="546">
        <f>AF9</f>
        <v>69</v>
      </c>
      <c r="J14" s="546">
        <f>SUM(AG9:AH9)</f>
        <v>52</v>
      </c>
      <c r="K14" s="547">
        <f>SUM(B14:J14)</f>
        <v>759</v>
      </c>
      <c r="M14" s="667" t="s">
        <v>192</v>
      </c>
      <c r="N14" s="660">
        <v>13</v>
      </c>
      <c r="O14" s="660">
        <v>17</v>
      </c>
      <c r="P14" s="660">
        <v>14</v>
      </c>
      <c r="Q14" s="660">
        <v>19</v>
      </c>
      <c r="R14" s="660">
        <v>11</v>
      </c>
      <c r="S14" s="660">
        <v>10</v>
      </c>
      <c r="T14" s="660">
        <v>9</v>
      </c>
      <c r="U14" s="660">
        <v>10</v>
      </c>
      <c r="V14" s="660">
        <v>4</v>
      </c>
      <c r="W14" s="660">
        <v>13</v>
      </c>
      <c r="X14" s="660">
        <v>9</v>
      </c>
      <c r="Y14" s="660">
        <v>2</v>
      </c>
      <c r="Z14" s="660">
        <v>16</v>
      </c>
      <c r="AA14" s="660">
        <v>16</v>
      </c>
      <c r="AB14" s="660">
        <v>23</v>
      </c>
      <c r="AC14" s="660">
        <v>39</v>
      </c>
      <c r="AD14" s="660">
        <v>32</v>
      </c>
      <c r="AE14" s="660">
        <v>74</v>
      </c>
      <c r="AF14" s="660">
        <v>30</v>
      </c>
      <c r="AG14" s="660">
        <v>36</v>
      </c>
      <c r="AH14" s="671"/>
      <c r="AI14" s="85"/>
    </row>
    <row r="15" spans="1:35" s="21" customFormat="1" ht="18.75" customHeight="1" x14ac:dyDescent="0.15">
      <c r="A15" s="564" t="s">
        <v>424</v>
      </c>
      <c r="B15" s="549">
        <f t="shared" ref="B15:I15" si="10">B14/B$36</f>
        <v>4.0562913907284767E-2</v>
      </c>
      <c r="C15" s="549">
        <f t="shared" si="10"/>
        <v>5.9968847352024922E-2</v>
      </c>
      <c r="D15" s="549">
        <f t="shared" si="10"/>
        <v>3.735408560311284E-2</v>
      </c>
      <c r="E15" s="549">
        <f t="shared" si="10"/>
        <v>4.7229791099000905E-2</v>
      </c>
      <c r="F15" s="549">
        <f t="shared" si="10"/>
        <v>6.7107750472589794E-2</v>
      </c>
      <c r="G15" s="549">
        <f t="shared" si="10"/>
        <v>6.5743944636678195E-2</v>
      </c>
      <c r="H15" s="549">
        <f t="shared" si="10"/>
        <v>4.2212983690438119E-2</v>
      </c>
      <c r="I15" s="549">
        <f t="shared" si="10"/>
        <v>4.7357584076870282E-2</v>
      </c>
      <c r="J15" s="549">
        <f t="shared" ref="J15" si="11">J14/J$36</f>
        <v>4.0216550657385927E-2</v>
      </c>
      <c r="K15" s="549">
        <f>K14/K$36</f>
        <v>5.0627001067235861E-2</v>
      </c>
      <c r="M15" s="668" t="s">
        <v>193</v>
      </c>
      <c r="N15" s="663">
        <v>11</v>
      </c>
      <c r="O15" s="663">
        <v>13</v>
      </c>
      <c r="P15" s="663">
        <v>12</v>
      </c>
      <c r="Q15" s="663">
        <v>13</v>
      </c>
      <c r="R15" s="663">
        <v>5</v>
      </c>
      <c r="S15" s="663">
        <v>9</v>
      </c>
      <c r="T15" s="663">
        <v>7</v>
      </c>
      <c r="U15" s="663">
        <v>14</v>
      </c>
      <c r="V15" s="663">
        <v>6</v>
      </c>
      <c r="W15" s="663">
        <v>16</v>
      </c>
      <c r="X15" s="663">
        <v>5</v>
      </c>
      <c r="Y15" s="663">
        <v>4</v>
      </c>
      <c r="Z15" s="663">
        <v>16</v>
      </c>
      <c r="AA15" s="663">
        <v>13</v>
      </c>
      <c r="AB15" s="663">
        <v>22</v>
      </c>
      <c r="AC15" s="663">
        <v>42</v>
      </c>
      <c r="AD15" s="663">
        <v>28</v>
      </c>
      <c r="AE15" s="663">
        <v>72</v>
      </c>
      <c r="AF15" s="663">
        <v>32</v>
      </c>
      <c r="AG15" s="663">
        <v>26</v>
      </c>
      <c r="AH15" s="672">
        <v>1</v>
      </c>
      <c r="AI15" s="85"/>
    </row>
    <row r="16" spans="1:35" s="21" customFormat="1" ht="18.75" customHeight="1" x14ac:dyDescent="0.15">
      <c r="A16" s="563" t="s">
        <v>425</v>
      </c>
      <c r="B16" s="546">
        <f>SUM(N10:P10)</f>
        <v>80</v>
      </c>
      <c r="C16" s="546">
        <f>SUM(Q10:R10)</f>
        <v>114</v>
      </c>
      <c r="D16" s="546">
        <f>SUM(S10:V10)</f>
        <v>113</v>
      </c>
      <c r="E16" s="546">
        <f>SUM(W10:Y10)</f>
        <v>85</v>
      </c>
      <c r="F16" s="546">
        <f>SUM(Z10:AA10)</f>
        <v>81</v>
      </c>
      <c r="G16" s="546">
        <f>SUM(AB10:AD10)</f>
        <v>343</v>
      </c>
      <c r="H16" s="546">
        <f>AE10</f>
        <v>244</v>
      </c>
      <c r="I16" s="546">
        <f>AF10</f>
        <v>112</v>
      </c>
      <c r="J16" s="546">
        <f>SUM(AG10:AH10)</f>
        <v>89</v>
      </c>
      <c r="K16" s="547">
        <f>SUM(B16:J16)</f>
        <v>1261</v>
      </c>
      <c r="M16" s="667" t="s">
        <v>194</v>
      </c>
      <c r="N16" s="660">
        <v>9</v>
      </c>
      <c r="O16" s="660">
        <v>6</v>
      </c>
      <c r="P16" s="660">
        <v>11</v>
      </c>
      <c r="Q16" s="660">
        <v>14</v>
      </c>
      <c r="R16" s="660">
        <v>9</v>
      </c>
      <c r="S16" s="660">
        <v>8</v>
      </c>
      <c r="T16" s="660">
        <v>3</v>
      </c>
      <c r="U16" s="660">
        <v>7</v>
      </c>
      <c r="V16" s="660">
        <v>6</v>
      </c>
      <c r="W16" s="660">
        <v>8</v>
      </c>
      <c r="X16" s="660">
        <v>5</v>
      </c>
      <c r="Y16" s="660">
        <v>2</v>
      </c>
      <c r="Z16" s="660">
        <v>15</v>
      </c>
      <c r="AA16" s="660">
        <v>8</v>
      </c>
      <c r="AB16" s="660">
        <v>23</v>
      </c>
      <c r="AC16" s="660">
        <v>37</v>
      </c>
      <c r="AD16" s="660">
        <v>17</v>
      </c>
      <c r="AE16" s="660">
        <v>60</v>
      </c>
      <c r="AF16" s="660">
        <v>29</v>
      </c>
      <c r="AG16" s="660">
        <v>29</v>
      </c>
      <c r="AH16" s="671">
        <v>5</v>
      </c>
      <c r="AI16" s="85"/>
    </row>
    <row r="17" spans="1:35" s="21" customFormat="1" ht="18.75" customHeight="1" x14ac:dyDescent="0.15">
      <c r="A17" s="564" t="s">
        <v>426</v>
      </c>
      <c r="B17" s="584">
        <f t="shared" ref="B17:I17" si="12">B16/B$36</f>
        <v>6.6225165562913912E-2</v>
      </c>
      <c r="C17" s="584">
        <f t="shared" si="12"/>
        <v>8.8785046728971959E-2</v>
      </c>
      <c r="D17" s="584">
        <f t="shared" si="12"/>
        <v>8.7937743190661485E-2</v>
      </c>
      <c r="E17" s="584">
        <f t="shared" si="12"/>
        <v>7.7202543142597641E-2</v>
      </c>
      <c r="F17" s="584">
        <f t="shared" si="12"/>
        <v>7.6559546313799617E-2</v>
      </c>
      <c r="G17" s="584">
        <f t="shared" si="12"/>
        <v>0.10789556464296948</v>
      </c>
      <c r="H17" s="584">
        <f t="shared" si="12"/>
        <v>7.8030060761112893E-2</v>
      </c>
      <c r="I17" s="584">
        <f t="shared" si="12"/>
        <v>7.6870281400137269E-2</v>
      </c>
      <c r="J17" s="584">
        <f t="shared" ref="J17" si="13">J16/J$36</f>
        <v>6.8832173240525915E-2</v>
      </c>
      <c r="K17" s="584">
        <f>K16/K$36</f>
        <v>8.4111526147278542E-2</v>
      </c>
      <c r="M17" s="668" t="s">
        <v>195</v>
      </c>
      <c r="N17" s="663">
        <v>5</v>
      </c>
      <c r="O17" s="663">
        <v>6</v>
      </c>
      <c r="P17" s="663">
        <v>5</v>
      </c>
      <c r="Q17" s="663">
        <v>8</v>
      </c>
      <c r="R17" s="663">
        <v>6</v>
      </c>
      <c r="S17" s="663">
        <v>7</v>
      </c>
      <c r="T17" s="663">
        <v>8</v>
      </c>
      <c r="U17" s="663">
        <v>7</v>
      </c>
      <c r="V17" s="663">
        <v>7</v>
      </c>
      <c r="W17" s="663">
        <v>11</v>
      </c>
      <c r="X17" s="663">
        <v>6</v>
      </c>
      <c r="Y17" s="663">
        <v>1</v>
      </c>
      <c r="Z17" s="663">
        <v>11</v>
      </c>
      <c r="AA17" s="663">
        <v>5</v>
      </c>
      <c r="AB17" s="663">
        <v>25</v>
      </c>
      <c r="AC17" s="663">
        <v>28</v>
      </c>
      <c r="AD17" s="663">
        <v>15</v>
      </c>
      <c r="AE17" s="663">
        <v>46</v>
      </c>
      <c r="AF17" s="663">
        <v>27</v>
      </c>
      <c r="AG17" s="663">
        <v>18</v>
      </c>
      <c r="AH17" s="672">
        <v>5</v>
      </c>
      <c r="AI17" s="85"/>
    </row>
    <row r="18" spans="1:35" s="21" customFormat="1" ht="18.75" customHeight="1" x14ac:dyDescent="0.15">
      <c r="A18" s="585" t="s">
        <v>427</v>
      </c>
      <c r="B18" s="546">
        <f>SUM(N11:P11)</f>
        <v>71</v>
      </c>
      <c r="C18" s="546">
        <f>SUM(Q11:R11)</f>
        <v>84</v>
      </c>
      <c r="D18" s="546">
        <f>SUM(S11:V11)</f>
        <v>79</v>
      </c>
      <c r="E18" s="546">
        <f>SUM(W11:Y11)</f>
        <v>87</v>
      </c>
      <c r="F18" s="546">
        <f>SUM(Z11:AA11)</f>
        <v>51</v>
      </c>
      <c r="G18" s="546">
        <f>SUM(AB11:AD11)</f>
        <v>229</v>
      </c>
      <c r="H18" s="546">
        <f>AE11</f>
        <v>192</v>
      </c>
      <c r="I18" s="546">
        <f>AF11</f>
        <v>74</v>
      </c>
      <c r="J18" s="546">
        <f>SUM(AG11:AH11)</f>
        <v>68</v>
      </c>
      <c r="K18" s="547">
        <f>SUM(B18:J18)</f>
        <v>935</v>
      </c>
      <c r="M18" s="667" t="s">
        <v>196</v>
      </c>
      <c r="N18" s="660">
        <v>39</v>
      </c>
      <c r="O18" s="660">
        <v>37</v>
      </c>
      <c r="P18" s="660">
        <v>32</v>
      </c>
      <c r="Q18" s="660">
        <v>50</v>
      </c>
      <c r="R18" s="660">
        <v>53</v>
      </c>
      <c r="S18" s="660">
        <v>39</v>
      </c>
      <c r="T18" s="660">
        <v>18</v>
      </c>
      <c r="U18" s="660">
        <v>31</v>
      </c>
      <c r="V18" s="660">
        <v>16</v>
      </c>
      <c r="W18" s="660">
        <v>43</v>
      </c>
      <c r="X18" s="660">
        <v>27</v>
      </c>
      <c r="Y18" s="660">
        <v>11</v>
      </c>
      <c r="Z18" s="660">
        <v>53</v>
      </c>
      <c r="AA18" s="660">
        <v>62</v>
      </c>
      <c r="AB18" s="660">
        <v>82</v>
      </c>
      <c r="AC18" s="660">
        <v>143</v>
      </c>
      <c r="AD18" s="660">
        <v>68</v>
      </c>
      <c r="AE18" s="660">
        <v>287</v>
      </c>
      <c r="AF18" s="660">
        <v>162</v>
      </c>
      <c r="AG18" s="660">
        <v>119</v>
      </c>
      <c r="AH18" s="671">
        <v>23</v>
      </c>
      <c r="AI18" s="85"/>
    </row>
    <row r="19" spans="1:35" s="21" customFormat="1" ht="18.75" customHeight="1" x14ac:dyDescent="0.15">
      <c r="A19" s="586" t="s">
        <v>428</v>
      </c>
      <c r="B19" s="549">
        <f t="shared" ref="B19:I19" si="14">B18/B$36</f>
        <v>5.8774834437086095E-2</v>
      </c>
      <c r="C19" s="549">
        <f t="shared" si="14"/>
        <v>6.5420560747663545E-2</v>
      </c>
      <c r="D19" s="549">
        <f t="shared" si="14"/>
        <v>6.147859922178988E-2</v>
      </c>
      <c r="E19" s="549">
        <f t="shared" si="14"/>
        <v>7.901907356948229E-2</v>
      </c>
      <c r="F19" s="549">
        <f t="shared" si="14"/>
        <v>4.8204158790170135E-2</v>
      </c>
      <c r="G19" s="549">
        <f t="shared" si="14"/>
        <v>7.2035231204781378E-2</v>
      </c>
      <c r="H19" s="549">
        <f t="shared" si="14"/>
        <v>6.1400703549728174E-2</v>
      </c>
      <c r="I19" s="549">
        <f t="shared" si="14"/>
        <v>5.0789293067947841E-2</v>
      </c>
      <c r="J19" s="549">
        <f t="shared" ref="J19" si="15">J18/J$36</f>
        <v>5.2590873936581593E-2</v>
      </c>
      <c r="K19" s="549">
        <f>K18/K$36</f>
        <v>6.236659551760939E-2</v>
      </c>
      <c r="M19" s="631" t="s">
        <v>197</v>
      </c>
      <c r="N19" s="658">
        <v>28</v>
      </c>
      <c r="O19" s="658">
        <v>26</v>
      </c>
      <c r="P19" s="658">
        <v>21</v>
      </c>
      <c r="Q19" s="658">
        <v>29</v>
      </c>
      <c r="R19" s="658">
        <v>18</v>
      </c>
      <c r="S19" s="658">
        <v>16</v>
      </c>
      <c r="T19" s="658">
        <v>6</v>
      </c>
      <c r="U19" s="658">
        <v>13</v>
      </c>
      <c r="V19" s="658">
        <v>10</v>
      </c>
      <c r="W19" s="658">
        <v>26</v>
      </c>
      <c r="X19" s="658">
        <v>17</v>
      </c>
      <c r="Y19" s="658">
        <v>4</v>
      </c>
      <c r="Z19" s="658">
        <v>21</v>
      </c>
      <c r="AA19" s="658">
        <v>23</v>
      </c>
      <c r="AB19" s="658">
        <v>53</v>
      </c>
      <c r="AC19" s="658">
        <v>66</v>
      </c>
      <c r="AD19" s="658">
        <v>40</v>
      </c>
      <c r="AE19" s="658">
        <v>174</v>
      </c>
      <c r="AF19" s="658">
        <v>132</v>
      </c>
      <c r="AG19" s="658">
        <v>93</v>
      </c>
      <c r="AH19" s="656">
        <v>10</v>
      </c>
      <c r="AI19" s="85"/>
    </row>
    <row r="20" spans="1:35" s="21" customFormat="1" ht="18.75" customHeight="1" x14ac:dyDescent="0.15">
      <c r="A20" s="563" t="s">
        <v>429</v>
      </c>
      <c r="B20" s="546">
        <f>SUM(N12:P12)</f>
        <v>66</v>
      </c>
      <c r="C20" s="546">
        <f>SUM(Q12:R12)</f>
        <v>80</v>
      </c>
      <c r="D20" s="546">
        <f>SUM(S12:V12)</f>
        <v>56</v>
      </c>
      <c r="E20" s="546">
        <f>SUM(W12:Y12)</f>
        <v>46</v>
      </c>
      <c r="F20" s="546">
        <f>SUM(Z12:AA12)</f>
        <v>39</v>
      </c>
      <c r="G20" s="546">
        <f>SUM(AB12:AD12)</f>
        <v>184</v>
      </c>
      <c r="H20" s="546">
        <f>AE12</f>
        <v>130</v>
      </c>
      <c r="I20" s="546">
        <f>AF12</f>
        <v>65</v>
      </c>
      <c r="J20" s="546">
        <f>SUM(AG12:AH12)</f>
        <v>92</v>
      </c>
      <c r="K20" s="547">
        <f>SUM(B20:J20)</f>
        <v>758</v>
      </c>
      <c r="AI20" s="85"/>
    </row>
    <row r="21" spans="1:35" s="21" customFormat="1" ht="18.75" customHeight="1" x14ac:dyDescent="0.15">
      <c r="A21" s="564" t="s">
        <v>430</v>
      </c>
      <c r="B21" s="549">
        <f t="shared" ref="B21:I21" si="16">B20/B$36</f>
        <v>5.4635761589403975E-2</v>
      </c>
      <c r="C21" s="549">
        <f t="shared" si="16"/>
        <v>6.2305295950155763E-2</v>
      </c>
      <c r="D21" s="549">
        <f t="shared" si="16"/>
        <v>4.3579766536964978E-2</v>
      </c>
      <c r="E21" s="549">
        <f t="shared" si="16"/>
        <v>4.1780199818346957E-2</v>
      </c>
      <c r="F21" s="549">
        <f t="shared" si="16"/>
        <v>3.6862003780718335E-2</v>
      </c>
      <c r="G21" s="549">
        <f t="shared" si="16"/>
        <v>5.787983642654923E-2</v>
      </c>
      <c r="H21" s="549">
        <f t="shared" si="16"/>
        <v>4.1573393028461782E-2</v>
      </c>
      <c r="I21" s="549">
        <f t="shared" si="16"/>
        <v>4.4612216884008238E-2</v>
      </c>
      <c r="J21" s="549">
        <f t="shared" ref="J21" si="17">J20/J$36</f>
        <v>7.1152358855375103E-2</v>
      </c>
      <c r="K21" s="549">
        <f>K20/K$36</f>
        <v>5.0560298826040552E-2</v>
      </c>
    </row>
    <row r="22" spans="1:35" s="21" customFormat="1" ht="18.75" customHeight="1" x14ac:dyDescent="0.15">
      <c r="A22" s="563" t="s">
        <v>431</v>
      </c>
      <c r="B22" s="546">
        <f>SUM(N13:P13)</f>
        <v>49</v>
      </c>
      <c r="C22" s="546">
        <f>SUM(Q13:R13)</f>
        <v>42</v>
      </c>
      <c r="D22" s="546">
        <f>SUM(S13:V13)</f>
        <v>47</v>
      </c>
      <c r="E22" s="546">
        <f>SUM(W13:Y13)</f>
        <v>39</v>
      </c>
      <c r="F22" s="546">
        <f>SUM(Z13:AA13)</f>
        <v>38</v>
      </c>
      <c r="G22" s="546">
        <f>SUM(AB13:AD13)</f>
        <v>151</v>
      </c>
      <c r="H22" s="546">
        <f>AE13</f>
        <v>106</v>
      </c>
      <c r="I22" s="546">
        <f>AF13</f>
        <v>49</v>
      </c>
      <c r="J22" s="546">
        <f>SUM(AG13:AH13)</f>
        <v>56</v>
      </c>
      <c r="K22" s="547">
        <f>SUM(B22:J22)</f>
        <v>577</v>
      </c>
    </row>
    <row r="23" spans="1:35" s="21" customFormat="1" ht="18.75" customHeight="1" x14ac:dyDescent="0.15">
      <c r="A23" s="564" t="s">
        <v>432</v>
      </c>
      <c r="B23" s="549">
        <f t="shared" ref="B23:I23" si="18">B22/B$36</f>
        <v>4.0562913907284767E-2</v>
      </c>
      <c r="C23" s="549">
        <f t="shared" si="18"/>
        <v>3.2710280373831772E-2</v>
      </c>
      <c r="D23" s="549">
        <f t="shared" si="18"/>
        <v>3.6575875486381325E-2</v>
      </c>
      <c r="E23" s="549">
        <f t="shared" si="18"/>
        <v>3.5422343324250684E-2</v>
      </c>
      <c r="F23" s="549">
        <f t="shared" si="18"/>
        <v>3.5916824196597356E-2</v>
      </c>
      <c r="G23" s="549">
        <f t="shared" si="18"/>
        <v>4.7499213589178989E-2</v>
      </c>
      <c r="H23" s="549">
        <f t="shared" si="18"/>
        <v>3.3898305084745763E-2</v>
      </c>
      <c r="I23" s="549">
        <f t="shared" si="18"/>
        <v>3.3630748112560054E-2</v>
      </c>
      <c r="J23" s="549">
        <f t="shared" ref="J23" si="19">J22/J$36</f>
        <v>4.3310131477184842E-2</v>
      </c>
      <c r="K23" s="549">
        <f>K22/K$36</f>
        <v>3.8487193169690501E-2</v>
      </c>
    </row>
    <row r="24" spans="1:35" s="21" customFormat="1" ht="18.75" customHeight="1" x14ac:dyDescent="0.15">
      <c r="A24" s="563" t="s">
        <v>433</v>
      </c>
      <c r="B24" s="546">
        <f>SUM(N14:P14)</f>
        <v>44</v>
      </c>
      <c r="C24" s="546">
        <f>SUM(Q14:R14)</f>
        <v>30</v>
      </c>
      <c r="D24" s="546">
        <f>SUM(S14:V14)</f>
        <v>33</v>
      </c>
      <c r="E24" s="546">
        <f>SUM(W14:Y14)</f>
        <v>24</v>
      </c>
      <c r="F24" s="546">
        <f>SUM(Z14:AA14)</f>
        <v>32</v>
      </c>
      <c r="G24" s="546">
        <f>SUM(AB14:AD14)</f>
        <v>94</v>
      </c>
      <c r="H24" s="546">
        <f>AE14</f>
        <v>74</v>
      </c>
      <c r="I24" s="546">
        <f>AF14</f>
        <v>30</v>
      </c>
      <c r="J24" s="546">
        <f>SUM(AG14:AH14)</f>
        <v>36</v>
      </c>
      <c r="K24" s="547">
        <f>SUM(B24:J24)</f>
        <v>397</v>
      </c>
    </row>
    <row r="25" spans="1:35" s="21" customFormat="1" ht="18.75" customHeight="1" x14ac:dyDescent="0.15">
      <c r="A25" s="564" t="s">
        <v>434</v>
      </c>
      <c r="B25" s="549">
        <f t="shared" ref="B25:I25" si="20">B24/B$36</f>
        <v>3.6423841059602648E-2</v>
      </c>
      <c r="C25" s="549">
        <f t="shared" si="20"/>
        <v>2.336448598130841E-2</v>
      </c>
      <c r="D25" s="549">
        <f t="shared" si="20"/>
        <v>2.5680933852140077E-2</v>
      </c>
      <c r="E25" s="549">
        <f t="shared" si="20"/>
        <v>2.1798365122615803E-2</v>
      </c>
      <c r="F25" s="549">
        <f t="shared" si="20"/>
        <v>3.0245746691871456E-2</v>
      </c>
      <c r="G25" s="549">
        <f t="shared" si="20"/>
        <v>2.9569046870084933E-2</v>
      </c>
      <c r="H25" s="549">
        <f t="shared" si="20"/>
        <v>2.3664854493124401E-2</v>
      </c>
      <c r="I25" s="549">
        <f t="shared" si="20"/>
        <v>2.0590253946465339E-2</v>
      </c>
      <c r="J25" s="549">
        <f t="shared" ref="J25" si="21">J24/J$36</f>
        <v>2.7842227378190254E-2</v>
      </c>
      <c r="K25" s="549">
        <f>K24/K$36</f>
        <v>2.6480789754535751E-2</v>
      </c>
    </row>
    <row r="26" spans="1:35" s="21" customFormat="1" ht="18.75" customHeight="1" x14ac:dyDescent="0.15">
      <c r="A26" s="563" t="s">
        <v>435</v>
      </c>
      <c r="B26" s="546">
        <f>SUM(N15:P15)</f>
        <v>36</v>
      </c>
      <c r="C26" s="546">
        <f>SUM(Q15:R15)</f>
        <v>18</v>
      </c>
      <c r="D26" s="546">
        <f>SUM(S15:V15)</f>
        <v>36</v>
      </c>
      <c r="E26" s="546">
        <f>SUM(W15:Y15)</f>
        <v>25</v>
      </c>
      <c r="F26" s="546">
        <f>SUM(Z15:AA15)</f>
        <v>29</v>
      </c>
      <c r="G26" s="546">
        <f>SUM(AB15:AD15)</f>
        <v>92</v>
      </c>
      <c r="H26" s="546">
        <f>AE15</f>
        <v>72</v>
      </c>
      <c r="I26" s="546">
        <f>AF15</f>
        <v>32</v>
      </c>
      <c r="J26" s="546">
        <f>SUM(AG15:AH15)</f>
        <v>27</v>
      </c>
      <c r="K26" s="547">
        <f>SUM(B26:J26)</f>
        <v>367</v>
      </c>
    </row>
    <row r="27" spans="1:35" s="21" customFormat="1" ht="18.75" customHeight="1" x14ac:dyDescent="0.15">
      <c r="A27" s="564" t="s">
        <v>436</v>
      </c>
      <c r="B27" s="549">
        <f t="shared" ref="B27:I27" si="22">B26/B$36</f>
        <v>2.9801324503311258E-2</v>
      </c>
      <c r="C27" s="549">
        <f t="shared" si="22"/>
        <v>1.4018691588785047E-2</v>
      </c>
      <c r="D27" s="549">
        <f t="shared" si="22"/>
        <v>2.8015564202334631E-2</v>
      </c>
      <c r="E27" s="549">
        <f t="shared" si="22"/>
        <v>2.2706630336058128E-2</v>
      </c>
      <c r="F27" s="549">
        <f t="shared" si="22"/>
        <v>2.7410207939508508E-2</v>
      </c>
      <c r="G27" s="549">
        <f t="shared" si="22"/>
        <v>2.8939918213274615E-2</v>
      </c>
      <c r="H27" s="549">
        <f t="shared" si="22"/>
        <v>2.3025263831148064E-2</v>
      </c>
      <c r="I27" s="549">
        <f t="shared" si="22"/>
        <v>2.1962937542896362E-2</v>
      </c>
      <c r="J27" s="549">
        <f t="shared" ref="J27" si="23">J26/J$36</f>
        <v>2.0881670533642691E-2</v>
      </c>
      <c r="K27" s="549">
        <f>K26/K$36</f>
        <v>2.4479722518676628E-2</v>
      </c>
    </row>
    <row r="28" spans="1:35" s="21" customFormat="1" ht="18.75" customHeight="1" x14ac:dyDescent="0.15">
      <c r="A28" s="563" t="s">
        <v>437</v>
      </c>
      <c r="B28" s="546">
        <f>SUM(N16:P16)</f>
        <v>26</v>
      </c>
      <c r="C28" s="546">
        <f>SUM(Q16:R16)</f>
        <v>23</v>
      </c>
      <c r="D28" s="546">
        <f>SUM(S16:V16)</f>
        <v>24</v>
      </c>
      <c r="E28" s="546">
        <f>SUM(W16:Y16)</f>
        <v>15</v>
      </c>
      <c r="F28" s="546">
        <f>SUM(Z16:AA16)</f>
        <v>23</v>
      </c>
      <c r="G28" s="546">
        <f>SUM(AB16:AD16)</f>
        <v>77</v>
      </c>
      <c r="H28" s="546">
        <f>AE16</f>
        <v>60</v>
      </c>
      <c r="I28" s="546">
        <f>AF16</f>
        <v>29</v>
      </c>
      <c r="J28" s="546">
        <f>SUM(AG16:AH16)</f>
        <v>34</v>
      </c>
      <c r="K28" s="547">
        <f>SUM(B28:J28)</f>
        <v>311</v>
      </c>
    </row>
    <row r="29" spans="1:35" s="21" customFormat="1" ht="18.75" customHeight="1" x14ac:dyDescent="0.15">
      <c r="A29" s="564" t="s">
        <v>438</v>
      </c>
      <c r="B29" s="549">
        <f t="shared" ref="B29:I29" si="24">B28/B$36</f>
        <v>2.1523178807947019E-2</v>
      </c>
      <c r="C29" s="549">
        <f t="shared" si="24"/>
        <v>1.791277258566978E-2</v>
      </c>
      <c r="D29" s="549">
        <f t="shared" si="24"/>
        <v>1.867704280155642E-2</v>
      </c>
      <c r="E29" s="549">
        <f t="shared" si="24"/>
        <v>1.3623978201634877E-2</v>
      </c>
      <c r="F29" s="549">
        <f t="shared" si="24"/>
        <v>2.1739130434782608E-2</v>
      </c>
      <c r="G29" s="549">
        <f t="shared" si="24"/>
        <v>2.4221453287197232E-2</v>
      </c>
      <c r="H29" s="549">
        <f t="shared" si="24"/>
        <v>1.9187719859290055E-2</v>
      </c>
      <c r="I29" s="549">
        <f t="shared" si="24"/>
        <v>1.9903912148249828E-2</v>
      </c>
      <c r="J29" s="549">
        <f t="shared" ref="J29" si="25">J28/J$36</f>
        <v>2.6295436968290797E-2</v>
      </c>
      <c r="K29" s="549">
        <f>K28/K$36</f>
        <v>2.0744397011739593E-2</v>
      </c>
    </row>
    <row r="30" spans="1:35" s="21" customFormat="1" ht="18.75" customHeight="1" x14ac:dyDescent="0.15">
      <c r="A30" s="563" t="s">
        <v>439</v>
      </c>
      <c r="B30" s="546">
        <f>SUM(N17:P17)</f>
        <v>16</v>
      </c>
      <c r="C30" s="546">
        <f>SUM(Q17:R17)</f>
        <v>14</v>
      </c>
      <c r="D30" s="546">
        <f>SUM(S17:V17)</f>
        <v>29</v>
      </c>
      <c r="E30" s="546">
        <f>SUM(W17:Y17)</f>
        <v>18</v>
      </c>
      <c r="F30" s="546">
        <f>SUM(Z17:AA17)</f>
        <v>16</v>
      </c>
      <c r="G30" s="546">
        <f>SUM(AB17:AD17)</f>
        <v>68</v>
      </c>
      <c r="H30" s="546">
        <f>AE17</f>
        <v>46</v>
      </c>
      <c r="I30" s="546">
        <f>AF17</f>
        <v>27</v>
      </c>
      <c r="J30" s="546">
        <f>SUM(AG17:AH17)</f>
        <v>23</v>
      </c>
      <c r="K30" s="547">
        <f>SUM(B30:J30)</f>
        <v>257</v>
      </c>
    </row>
    <row r="31" spans="1:35" s="21" customFormat="1" ht="18.75" customHeight="1" x14ac:dyDescent="0.15">
      <c r="A31" s="564" t="s">
        <v>440</v>
      </c>
      <c r="B31" s="549">
        <f t="shared" ref="B31:I31" si="26">B30/B$36</f>
        <v>1.3245033112582781E-2</v>
      </c>
      <c r="C31" s="549">
        <f t="shared" si="26"/>
        <v>1.0903426791277258E-2</v>
      </c>
      <c r="D31" s="549">
        <f t="shared" si="26"/>
        <v>2.2568093385214007E-2</v>
      </c>
      <c r="E31" s="549">
        <f t="shared" si="26"/>
        <v>1.6348773841961851E-2</v>
      </c>
      <c r="F31" s="549">
        <f t="shared" si="26"/>
        <v>1.5122873345935728E-2</v>
      </c>
      <c r="G31" s="549">
        <f t="shared" si="26"/>
        <v>2.1390374331550801E-2</v>
      </c>
      <c r="H31" s="549">
        <f t="shared" si="26"/>
        <v>1.4710585225455708E-2</v>
      </c>
      <c r="I31" s="549">
        <f t="shared" si="26"/>
        <v>1.8531228551818806E-2</v>
      </c>
      <c r="J31" s="549">
        <f t="shared" ref="J31" si="27">J30/J$36</f>
        <v>1.7788089713843776E-2</v>
      </c>
      <c r="K31" s="549">
        <f>K30/K$36</f>
        <v>1.7142475987193168E-2</v>
      </c>
    </row>
    <row r="32" spans="1:35" s="21" customFormat="1" ht="18.75" customHeight="1" x14ac:dyDescent="0.15">
      <c r="A32" s="563" t="s">
        <v>441</v>
      </c>
      <c r="B32" s="546">
        <f>SUM(N18:P18)</f>
        <v>108</v>
      </c>
      <c r="C32" s="546">
        <f>SUM(Q18:R18)</f>
        <v>103</v>
      </c>
      <c r="D32" s="546">
        <f>SUM(S18:V18)</f>
        <v>104</v>
      </c>
      <c r="E32" s="546">
        <f>SUM(W18:Y18)</f>
        <v>81</v>
      </c>
      <c r="F32" s="546">
        <f>SUM(Z18:AA18)</f>
        <v>115</v>
      </c>
      <c r="G32" s="546">
        <f>SUM(AB18:AD18)</f>
        <v>293</v>
      </c>
      <c r="H32" s="546">
        <f>AE18</f>
        <v>287</v>
      </c>
      <c r="I32" s="546">
        <f>AF18</f>
        <v>162</v>
      </c>
      <c r="J32" s="546">
        <f>SUM(AG18:AH18)</f>
        <v>142</v>
      </c>
      <c r="K32" s="547">
        <f>SUM(B32:J32)</f>
        <v>1395</v>
      </c>
    </row>
    <row r="33" spans="1:11" s="21" customFormat="1" ht="18.75" customHeight="1" x14ac:dyDescent="0.15">
      <c r="A33" s="564" t="s">
        <v>442</v>
      </c>
      <c r="B33" s="549">
        <f t="shared" ref="B33:I33" si="28">B32/B$36</f>
        <v>8.9403973509933773E-2</v>
      </c>
      <c r="C33" s="549">
        <f t="shared" si="28"/>
        <v>8.021806853582554E-2</v>
      </c>
      <c r="D33" s="549">
        <f t="shared" si="28"/>
        <v>8.0933852140077825E-2</v>
      </c>
      <c r="E33" s="549">
        <f t="shared" si="28"/>
        <v>7.3569482288828342E-2</v>
      </c>
      <c r="F33" s="549">
        <f t="shared" si="28"/>
        <v>0.10869565217391304</v>
      </c>
      <c r="G33" s="549">
        <f t="shared" si="28"/>
        <v>9.216734822271154E-2</v>
      </c>
      <c r="H33" s="549">
        <f t="shared" si="28"/>
        <v>9.1781259993604092E-2</v>
      </c>
      <c r="I33" s="549">
        <f t="shared" si="28"/>
        <v>0.11118737131091283</v>
      </c>
      <c r="J33" s="549">
        <f t="shared" ref="J33" si="29">J32/J$36</f>
        <v>0.10982211910286156</v>
      </c>
      <c r="K33" s="549">
        <f>K32/K$36</f>
        <v>9.3049626467449312E-2</v>
      </c>
    </row>
    <row r="34" spans="1:11" s="21" customFormat="1" ht="18.75" customHeight="1" x14ac:dyDescent="0.15">
      <c r="A34" s="976" t="s">
        <v>61</v>
      </c>
      <c r="B34" s="546">
        <f>SUM(N19:P19)</f>
        <v>75</v>
      </c>
      <c r="C34" s="546">
        <f>SUM(Q19:R19)</f>
        <v>47</v>
      </c>
      <c r="D34" s="546">
        <f>SUM(S19:V19)</f>
        <v>45</v>
      </c>
      <c r="E34" s="546">
        <f>SUM(W19:Y19)</f>
        <v>47</v>
      </c>
      <c r="F34" s="546">
        <f>SUM(Z19:AA19)</f>
        <v>44</v>
      </c>
      <c r="G34" s="546">
        <f>SUM(AB19:AD19)</f>
        <v>159</v>
      </c>
      <c r="H34" s="546">
        <f>AE19</f>
        <v>174</v>
      </c>
      <c r="I34" s="546">
        <f>AF19</f>
        <v>132</v>
      </c>
      <c r="J34" s="546">
        <f>SUM(AG19:AH19)</f>
        <v>103</v>
      </c>
      <c r="K34" s="547">
        <f>SUM(B34:J34)</f>
        <v>826</v>
      </c>
    </row>
    <row r="35" spans="1:11" s="21" customFormat="1" ht="18.75" customHeight="1" x14ac:dyDescent="0.15">
      <c r="A35" s="994"/>
      <c r="B35" s="549">
        <f t="shared" ref="B35:I35" si="30">B34/B$36</f>
        <v>6.2086092715231786E-2</v>
      </c>
      <c r="C35" s="549">
        <f t="shared" si="30"/>
        <v>3.6604361370716508E-2</v>
      </c>
      <c r="D35" s="549">
        <f t="shared" si="30"/>
        <v>3.5019455252918288E-2</v>
      </c>
      <c r="E35" s="549">
        <f t="shared" si="30"/>
        <v>4.2688465031789281E-2</v>
      </c>
      <c r="F35" s="549">
        <f t="shared" si="30"/>
        <v>4.1587901701323253E-2</v>
      </c>
      <c r="G35" s="549">
        <f t="shared" si="30"/>
        <v>5.0015728216420259E-2</v>
      </c>
      <c r="H35" s="549">
        <f t="shared" si="30"/>
        <v>5.5644387591941159E-2</v>
      </c>
      <c r="I35" s="549">
        <f t="shared" si="30"/>
        <v>9.0597117364447491E-2</v>
      </c>
      <c r="J35" s="549">
        <f t="shared" ref="J35" si="31">J34/J$36</f>
        <v>7.965970610982212E-2</v>
      </c>
      <c r="K35" s="549">
        <f>K34/K$36</f>
        <v>5.5096051227321238E-2</v>
      </c>
    </row>
    <row r="36" spans="1:11" s="21" customFormat="1" ht="18.75" customHeight="1" x14ac:dyDescent="0.15">
      <c r="A36" s="991" t="s">
        <v>11</v>
      </c>
      <c r="B36" s="550">
        <f t="shared" ref="B36:I37" si="32">SUM(B4,B6,B8,B10,B12,B14,B16,B18,B20,B22,B24,B26,B28,B30,B32,B34)</f>
        <v>1208</v>
      </c>
      <c r="C36" s="550">
        <f t="shared" si="32"/>
        <v>1284</v>
      </c>
      <c r="D36" s="550">
        <f t="shared" si="32"/>
        <v>1285</v>
      </c>
      <c r="E36" s="550">
        <f t="shared" si="32"/>
        <v>1101</v>
      </c>
      <c r="F36" s="550">
        <f t="shared" si="32"/>
        <v>1058</v>
      </c>
      <c r="G36" s="550">
        <f t="shared" si="32"/>
        <v>3179</v>
      </c>
      <c r="H36" s="550">
        <f t="shared" si="32"/>
        <v>3127</v>
      </c>
      <c r="I36" s="550">
        <f t="shared" si="32"/>
        <v>1457</v>
      </c>
      <c r="J36" s="550">
        <f t="shared" ref="J36:J37" si="33">SUM(J4,J6,J8,J10,J12,J14,J16,J18,J20,J22,J24,J26,J28,J30,J32,J34)</f>
        <v>1293</v>
      </c>
      <c r="K36" s="551">
        <f>SUM(B36:J36)</f>
        <v>14992</v>
      </c>
    </row>
    <row r="37" spans="1:11" s="21" customFormat="1" ht="18.75" customHeight="1" x14ac:dyDescent="0.15">
      <c r="A37" s="992"/>
      <c r="B37" s="552">
        <f t="shared" si="32"/>
        <v>1</v>
      </c>
      <c r="C37" s="552">
        <f t="shared" si="32"/>
        <v>0.99999999999999978</v>
      </c>
      <c r="D37" s="552">
        <f t="shared" si="32"/>
        <v>1.0000000000000002</v>
      </c>
      <c r="E37" s="552">
        <f t="shared" si="32"/>
        <v>0.99999999999999978</v>
      </c>
      <c r="F37" s="552">
        <f t="shared" si="32"/>
        <v>1</v>
      </c>
      <c r="G37" s="552">
        <f t="shared" si="32"/>
        <v>1</v>
      </c>
      <c r="H37" s="552">
        <f t="shared" si="32"/>
        <v>0.99999999999999989</v>
      </c>
      <c r="I37" s="552">
        <f t="shared" si="32"/>
        <v>0.99999999999999989</v>
      </c>
      <c r="J37" s="552">
        <f t="shared" si="33"/>
        <v>1</v>
      </c>
      <c r="K37" s="552">
        <f>SUM(K5,K7,K9,K11,K13,K15,K17,K19,K21,K23,K25,K27,K29,K31,K33,K35)</f>
        <v>0.99999999999999989</v>
      </c>
    </row>
    <row r="38" spans="1:11" s="6" customFormat="1" ht="18.75" customHeight="1" x14ac:dyDescent="0.15">
      <c r="A38" s="995" t="s">
        <v>56</v>
      </c>
      <c r="B38" s="546">
        <f t="shared" ref="B38:I38" si="34">SUM(B4,B6,B8,B10)</f>
        <v>517</v>
      </c>
      <c r="C38" s="546">
        <f t="shared" si="34"/>
        <v>565</v>
      </c>
      <c r="D38" s="546">
        <f t="shared" si="34"/>
        <v>582</v>
      </c>
      <c r="E38" s="546">
        <f t="shared" si="34"/>
        <v>523</v>
      </c>
      <c r="F38" s="546">
        <f t="shared" si="34"/>
        <v>464</v>
      </c>
      <c r="G38" s="546">
        <f t="shared" si="34"/>
        <v>1038</v>
      </c>
      <c r="H38" s="546">
        <f t="shared" si="34"/>
        <v>1437</v>
      </c>
      <c r="I38" s="546">
        <f t="shared" si="34"/>
        <v>596</v>
      </c>
      <c r="J38" s="546">
        <f t="shared" ref="J38" si="35">SUM(J4,J6,J8,J10)</f>
        <v>506</v>
      </c>
      <c r="K38" s="547">
        <f>SUM(B38:J38)</f>
        <v>6228</v>
      </c>
    </row>
    <row r="39" spans="1:11" s="6" customFormat="1" ht="18.75" customHeight="1" x14ac:dyDescent="0.15">
      <c r="A39" s="996"/>
      <c r="B39" s="549">
        <f t="shared" ref="B39:I39" si="36">B38/B$36</f>
        <v>0.42798013245033112</v>
      </c>
      <c r="C39" s="549">
        <f t="shared" si="36"/>
        <v>0.4400311526479751</v>
      </c>
      <c r="D39" s="549">
        <f t="shared" si="36"/>
        <v>0.45291828793774319</v>
      </c>
      <c r="E39" s="549">
        <f t="shared" si="36"/>
        <v>0.47502270663033608</v>
      </c>
      <c r="F39" s="549">
        <f t="shared" si="36"/>
        <v>0.43856332703213613</v>
      </c>
      <c r="G39" s="549">
        <f t="shared" si="36"/>
        <v>0.32651777288455491</v>
      </c>
      <c r="H39" s="549">
        <f t="shared" si="36"/>
        <v>0.45954589062999679</v>
      </c>
      <c r="I39" s="549">
        <f t="shared" si="36"/>
        <v>0.40905971173644473</v>
      </c>
      <c r="J39" s="549">
        <f t="shared" ref="J39:J45" si="37">J38/J$36</f>
        <v>0.39133797370456302</v>
      </c>
      <c r="K39" s="549">
        <f>K38/K$36</f>
        <v>0.41542155816435433</v>
      </c>
    </row>
    <row r="40" spans="1:11" s="21" customFormat="1" ht="18.75" customHeight="1" x14ac:dyDescent="0.15">
      <c r="A40" s="565" t="s">
        <v>443</v>
      </c>
      <c r="B40" s="546">
        <f t="shared" ref="B40:I40" si="38">SUM(B12,B14,B16,B18,B20)</f>
        <v>337</v>
      </c>
      <c r="C40" s="546">
        <f t="shared" si="38"/>
        <v>442</v>
      </c>
      <c r="D40" s="546">
        <f t="shared" si="38"/>
        <v>385</v>
      </c>
      <c r="E40" s="546">
        <f t="shared" si="38"/>
        <v>329</v>
      </c>
      <c r="F40" s="546">
        <f t="shared" si="38"/>
        <v>297</v>
      </c>
      <c r="G40" s="546">
        <f t="shared" si="38"/>
        <v>1207</v>
      </c>
      <c r="H40" s="546">
        <f t="shared" si="38"/>
        <v>871</v>
      </c>
      <c r="I40" s="546">
        <f t="shared" si="38"/>
        <v>400</v>
      </c>
      <c r="J40" s="546">
        <f t="shared" ref="J40" si="39">SUM(J12,J14,J16,J18,J20)</f>
        <v>366</v>
      </c>
      <c r="K40" s="547">
        <f>SUM(B40:J40)</f>
        <v>4634</v>
      </c>
    </row>
    <row r="41" spans="1:11" s="21" customFormat="1" ht="18.75" customHeight="1" x14ac:dyDescent="0.15">
      <c r="A41" s="566" t="s">
        <v>444</v>
      </c>
      <c r="B41" s="549">
        <f t="shared" ref="B41:I41" si="40">B40/B$36</f>
        <v>0.27897350993377484</v>
      </c>
      <c r="C41" s="549">
        <f t="shared" si="40"/>
        <v>0.34423676012461057</v>
      </c>
      <c r="D41" s="549">
        <f t="shared" si="40"/>
        <v>0.29961089494163423</v>
      </c>
      <c r="E41" s="549">
        <f t="shared" si="40"/>
        <v>0.298819255222525</v>
      </c>
      <c r="F41" s="549">
        <f t="shared" si="40"/>
        <v>0.28071833648393196</v>
      </c>
      <c r="G41" s="549">
        <f t="shared" si="40"/>
        <v>0.37967914438502676</v>
      </c>
      <c r="H41" s="549">
        <f t="shared" si="40"/>
        <v>0.27854173329069398</v>
      </c>
      <c r="I41" s="549">
        <f t="shared" si="40"/>
        <v>0.27453671928620454</v>
      </c>
      <c r="J41" s="549">
        <f t="shared" si="37"/>
        <v>0.28306264501160094</v>
      </c>
      <c r="K41" s="549">
        <f>K40/K$36</f>
        <v>0.30909818569903946</v>
      </c>
    </row>
    <row r="42" spans="1:11" s="6" customFormat="1" ht="18.75" customHeight="1" x14ac:dyDescent="0.15">
      <c r="A42" s="565" t="s">
        <v>445</v>
      </c>
      <c r="B42" s="546">
        <f t="shared" ref="B42:I42" si="41">SUM(B22,B24,B26,B28,B30)</f>
        <v>171</v>
      </c>
      <c r="C42" s="546">
        <f t="shared" si="41"/>
        <v>127</v>
      </c>
      <c r="D42" s="546">
        <f t="shared" si="41"/>
        <v>169</v>
      </c>
      <c r="E42" s="546">
        <f t="shared" si="41"/>
        <v>121</v>
      </c>
      <c r="F42" s="546">
        <f t="shared" si="41"/>
        <v>138</v>
      </c>
      <c r="G42" s="546">
        <f t="shared" si="41"/>
        <v>482</v>
      </c>
      <c r="H42" s="546">
        <f t="shared" si="41"/>
        <v>358</v>
      </c>
      <c r="I42" s="546">
        <f t="shared" si="41"/>
        <v>167</v>
      </c>
      <c r="J42" s="546">
        <f t="shared" ref="J42" si="42">SUM(J22,J24,J26,J28,J30)</f>
        <v>176</v>
      </c>
      <c r="K42" s="547">
        <f>SUM(B42:J42)</f>
        <v>1909</v>
      </c>
    </row>
    <row r="43" spans="1:11" s="6" customFormat="1" ht="18.75" customHeight="1" x14ac:dyDescent="0.15">
      <c r="A43" s="567" t="s">
        <v>446</v>
      </c>
      <c r="B43" s="549">
        <f t="shared" ref="B43:I43" si="43">B42/B$36</f>
        <v>0.14155629139072848</v>
      </c>
      <c r="C43" s="549">
        <f t="shared" si="43"/>
        <v>9.8909657320872271E-2</v>
      </c>
      <c r="D43" s="549">
        <f t="shared" si="43"/>
        <v>0.13151750972762646</v>
      </c>
      <c r="E43" s="549">
        <f t="shared" si="43"/>
        <v>0.10990009082652134</v>
      </c>
      <c r="F43" s="549">
        <f t="shared" si="43"/>
        <v>0.13043478260869565</v>
      </c>
      <c r="G43" s="549">
        <f t="shared" si="43"/>
        <v>0.15162000629128658</v>
      </c>
      <c r="H43" s="549">
        <f t="shared" si="43"/>
        <v>0.114486728493764</v>
      </c>
      <c r="I43" s="549">
        <f t="shared" si="43"/>
        <v>0.11461908030199039</v>
      </c>
      <c r="J43" s="549">
        <f t="shared" si="37"/>
        <v>0.13611755607115236</v>
      </c>
      <c r="K43" s="549">
        <f>K42/K$36</f>
        <v>0.12733457844183566</v>
      </c>
    </row>
    <row r="44" spans="1:11" s="21" customFormat="1" ht="18.75" customHeight="1" x14ac:dyDescent="0.15">
      <c r="A44" s="995" t="s">
        <v>447</v>
      </c>
      <c r="B44" s="546">
        <f t="shared" ref="B44:I44" si="44">SUM(B32,B34)</f>
        <v>183</v>
      </c>
      <c r="C44" s="546">
        <f t="shared" si="44"/>
        <v>150</v>
      </c>
      <c r="D44" s="546">
        <f t="shared" si="44"/>
        <v>149</v>
      </c>
      <c r="E44" s="546">
        <f t="shared" si="44"/>
        <v>128</v>
      </c>
      <c r="F44" s="546">
        <f t="shared" si="44"/>
        <v>159</v>
      </c>
      <c r="G44" s="546">
        <f t="shared" si="44"/>
        <v>452</v>
      </c>
      <c r="H44" s="546">
        <f t="shared" si="44"/>
        <v>461</v>
      </c>
      <c r="I44" s="546">
        <f t="shared" si="44"/>
        <v>294</v>
      </c>
      <c r="J44" s="546">
        <f t="shared" ref="J44" si="45">SUM(J32,J34)</f>
        <v>245</v>
      </c>
      <c r="K44" s="547">
        <f>SUM(B44:J44)</f>
        <v>2221</v>
      </c>
    </row>
    <row r="45" spans="1:11" s="21" customFormat="1" ht="18.75" customHeight="1" x14ac:dyDescent="0.15">
      <c r="A45" s="996"/>
      <c r="B45" s="549">
        <f t="shared" ref="B45:I45" si="46">B44/B$36</f>
        <v>0.15149006622516556</v>
      </c>
      <c r="C45" s="549">
        <f t="shared" si="46"/>
        <v>0.11682242990654206</v>
      </c>
      <c r="D45" s="549">
        <f t="shared" si="46"/>
        <v>0.11595330739299611</v>
      </c>
      <c r="E45" s="549">
        <f t="shared" si="46"/>
        <v>0.11625794732061762</v>
      </c>
      <c r="F45" s="549">
        <f t="shared" si="46"/>
        <v>0.15028355387523629</v>
      </c>
      <c r="G45" s="549">
        <f t="shared" si="46"/>
        <v>0.14218307643913181</v>
      </c>
      <c r="H45" s="549">
        <f t="shared" si="46"/>
        <v>0.14742564758554524</v>
      </c>
      <c r="I45" s="549">
        <f t="shared" si="46"/>
        <v>0.20178448867536034</v>
      </c>
      <c r="J45" s="549">
        <f t="shared" si="37"/>
        <v>0.18948182521268367</v>
      </c>
      <c r="K45" s="549">
        <f>K44/K$36</f>
        <v>0.14814567769477055</v>
      </c>
    </row>
    <row r="46" spans="1:11" hidden="1" x14ac:dyDescent="0.15">
      <c r="B46" s="39">
        <f>SUM(B38,B40,B42,B44)</f>
        <v>1208</v>
      </c>
      <c r="C46" s="39">
        <f t="shared" ref="C46:J46" si="47">SUM(C38,C40,C42,C44)</f>
        <v>1284</v>
      </c>
      <c r="D46" s="39">
        <f t="shared" si="47"/>
        <v>1285</v>
      </c>
      <c r="E46" s="39">
        <f t="shared" si="47"/>
        <v>1101</v>
      </c>
      <c r="F46" s="39">
        <f t="shared" si="47"/>
        <v>1058</v>
      </c>
      <c r="G46" s="39">
        <f t="shared" si="47"/>
        <v>3179</v>
      </c>
      <c r="H46" s="39">
        <f t="shared" si="47"/>
        <v>3127</v>
      </c>
      <c r="I46" s="39">
        <f t="shared" si="47"/>
        <v>1457</v>
      </c>
      <c r="J46" s="39">
        <f t="shared" si="47"/>
        <v>1293</v>
      </c>
    </row>
    <row r="47" spans="1:11" x14ac:dyDescent="0.15">
      <c r="B47" s="39"/>
      <c r="C47" s="39"/>
      <c r="D47" s="39"/>
      <c r="E47" s="39"/>
      <c r="F47" s="39"/>
      <c r="G47" s="39"/>
      <c r="H47" s="39"/>
      <c r="I47" s="39"/>
    </row>
  </sheetData>
  <mergeCells count="5">
    <mergeCell ref="A4:A5"/>
    <mergeCell ref="A34:A35"/>
    <mergeCell ref="A36:A37"/>
    <mergeCell ref="A38:A39"/>
    <mergeCell ref="A44:A45"/>
  </mergeCells>
  <phoneticPr fontId="2"/>
  <printOptions horizontalCentered="1"/>
  <pageMargins left="0.70866141732283472" right="0.70866141732283472" top="0.74803149606299213" bottom="0.74803149606299213"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6081" r:id="rId4" name="Button 1">
              <controlPr defaultSize="0" print="0" autoFill="0" autoPict="0" macro="[0]!データ削除_在院期間区分入院時住所地">
                <anchor moveWithCells="1" sizeWithCells="1">
                  <from>
                    <xdr:col>11</xdr:col>
                    <xdr:colOff>495300</xdr:colOff>
                    <xdr:row>21</xdr:row>
                    <xdr:rowOff>219075</xdr:rowOff>
                  </from>
                  <to>
                    <xdr:col>15</xdr:col>
                    <xdr:colOff>57150</xdr:colOff>
                    <xdr:row>25</xdr:row>
                    <xdr:rowOff>38100</xdr:rowOff>
                  </to>
                </anchor>
              </controlPr>
            </control>
          </mc:Choice>
        </mc:AlternateContent>
      </controls>
    </mc:Choice>
  </mc:AlternateContent>
  <tableParts count="1">
    <tablePart r:id="rId5"/>
  </tableParts>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2">
    <tabColor theme="5" tint="0.39997558519241921"/>
    <pageSetUpPr fitToPage="1"/>
  </sheetPr>
  <dimension ref="A1:AI21"/>
  <sheetViews>
    <sheetView showGridLines="0" view="pageBreakPreview" topLeftCell="C1" zoomScaleNormal="85" zoomScaleSheetLayoutView="100" workbookViewId="0">
      <selection activeCell="L1" sqref="L1:AI1048576"/>
    </sheetView>
  </sheetViews>
  <sheetFormatPr defaultColWidth="13.75" defaultRowHeight="18.75" x14ac:dyDescent="0.15"/>
  <cols>
    <col min="1" max="1" width="10" style="537" customWidth="1"/>
    <col min="2" max="11" width="8.75" style="537" customWidth="1"/>
    <col min="12" max="12" width="7.5" style="537" hidden="1" customWidth="1"/>
    <col min="13" max="13" width="10.25" style="537" hidden="1" customWidth="1"/>
    <col min="14" max="14" width="10.875" style="537" hidden="1" customWidth="1"/>
    <col min="15" max="16" width="12.75" style="537" hidden="1" customWidth="1"/>
    <col min="17" max="17" width="9.75" style="537" hidden="1" customWidth="1"/>
    <col min="18" max="18" width="12.75" style="537" hidden="1" customWidth="1"/>
    <col min="19" max="19" width="14.625" style="537" hidden="1" customWidth="1"/>
    <col min="20" max="20" width="16.5" style="537" hidden="1" customWidth="1"/>
    <col min="21" max="22" width="12.75" style="537" hidden="1" customWidth="1"/>
    <col min="23" max="23" width="16.5" style="537" hidden="1" customWidth="1"/>
    <col min="24" max="24" width="14.625" style="537" hidden="1" customWidth="1"/>
    <col min="25" max="27" width="12.75" style="537" hidden="1" customWidth="1"/>
    <col min="28" max="31" width="10.875" style="537" hidden="1" customWidth="1"/>
    <col min="32" max="32" width="9.75" style="537" hidden="1" customWidth="1"/>
    <col min="33" max="33" width="10.875" style="537" hidden="1" customWidth="1"/>
    <col min="34" max="34" width="14.625" style="537" hidden="1" customWidth="1"/>
    <col min="35" max="35" width="9.75" style="537" hidden="1" customWidth="1"/>
    <col min="36" max="16384" width="13.75" style="537"/>
  </cols>
  <sheetData>
    <row r="1" spans="1:35" s="3" customFormat="1" ht="19.5" x14ac:dyDescent="0.15">
      <c r="A1" s="2" t="s">
        <v>469</v>
      </c>
    </row>
    <row r="2" spans="1:35" ht="19.5" thickBot="1" x14ac:dyDescent="0.2">
      <c r="A2" s="4"/>
    </row>
    <row r="3" spans="1:35" ht="39" thickTop="1" thickBot="1" x14ac:dyDescent="0.2">
      <c r="A3" s="545"/>
      <c r="B3" s="545" t="s">
        <v>387</v>
      </c>
      <c r="C3" s="545" t="s">
        <v>388</v>
      </c>
      <c r="D3" s="545" t="s">
        <v>389</v>
      </c>
      <c r="E3" s="545" t="s">
        <v>390</v>
      </c>
      <c r="F3" s="545" t="s">
        <v>391</v>
      </c>
      <c r="G3" s="545" t="s">
        <v>392</v>
      </c>
      <c r="H3" s="545" t="s">
        <v>393</v>
      </c>
      <c r="I3" s="545" t="s">
        <v>394</v>
      </c>
      <c r="J3" s="571" t="s">
        <v>465</v>
      </c>
      <c r="K3" s="545" t="s">
        <v>62</v>
      </c>
      <c r="M3" s="737" t="s">
        <v>373</v>
      </c>
      <c r="N3" s="710" t="s">
        <v>395</v>
      </c>
      <c r="O3" s="710" t="s">
        <v>396</v>
      </c>
      <c r="P3" s="710" t="s">
        <v>397</v>
      </c>
      <c r="Q3" s="710" t="s">
        <v>398</v>
      </c>
      <c r="R3" s="710" t="s">
        <v>399</v>
      </c>
      <c r="S3" s="710" t="s">
        <v>400</v>
      </c>
      <c r="T3" s="710" t="s">
        <v>401</v>
      </c>
      <c r="U3" s="710" t="s">
        <v>402</v>
      </c>
      <c r="V3" s="710" t="s">
        <v>403</v>
      </c>
      <c r="W3" s="710" t="s">
        <v>404</v>
      </c>
      <c r="X3" s="710" t="s">
        <v>565</v>
      </c>
      <c r="Y3" s="710" t="s">
        <v>566</v>
      </c>
      <c r="Z3" s="710" t="s">
        <v>567</v>
      </c>
      <c r="AA3" s="710" t="s">
        <v>568</v>
      </c>
      <c r="AB3" s="710" t="s">
        <v>569</v>
      </c>
      <c r="AC3" s="710" t="s">
        <v>570</v>
      </c>
      <c r="AD3" s="710" t="s">
        <v>571</v>
      </c>
      <c r="AE3" s="710" t="s">
        <v>572</v>
      </c>
      <c r="AF3" s="710" t="s">
        <v>573</v>
      </c>
      <c r="AG3" s="710" t="s">
        <v>620</v>
      </c>
      <c r="AH3" s="711" t="s">
        <v>621</v>
      </c>
      <c r="AI3" s="710" t="s">
        <v>609</v>
      </c>
    </row>
    <row r="4" spans="1:35" s="21" customFormat="1" ht="18.75" customHeight="1" thickTop="1" x14ac:dyDescent="0.15">
      <c r="A4" s="968" t="s">
        <v>28</v>
      </c>
      <c r="B4" s="546">
        <f>SUM(N4:P4)</f>
        <v>42</v>
      </c>
      <c r="C4" s="546">
        <f>SUM(Q4:R4)</f>
        <v>34</v>
      </c>
      <c r="D4" s="546">
        <f>SUM(S4:V4)</f>
        <v>56</v>
      </c>
      <c r="E4" s="546">
        <f>SUM(W4:Y4)</f>
        <v>49</v>
      </c>
      <c r="F4" s="546">
        <f>SUM(Z4:AA4)</f>
        <v>22</v>
      </c>
      <c r="G4" s="546">
        <f>SUM(AB4:AD4)</f>
        <v>31</v>
      </c>
      <c r="H4" s="546">
        <f>AE4</f>
        <v>89</v>
      </c>
      <c r="I4" s="546">
        <f>AF4</f>
        <v>17</v>
      </c>
      <c r="J4" s="546">
        <f>SUM(AG4:AH4)</f>
        <v>39</v>
      </c>
      <c r="K4" s="547">
        <f>SUM(B4:J4)</f>
        <v>379</v>
      </c>
      <c r="M4" s="735">
        <v>1</v>
      </c>
      <c r="N4" s="660">
        <v>6</v>
      </c>
      <c r="O4" s="660">
        <v>21</v>
      </c>
      <c r="P4" s="660">
        <v>15</v>
      </c>
      <c r="Q4" s="660">
        <v>12</v>
      </c>
      <c r="R4" s="660">
        <v>22</v>
      </c>
      <c r="S4" s="660">
        <v>10</v>
      </c>
      <c r="T4" s="660">
        <v>15</v>
      </c>
      <c r="U4" s="660">
        <v>20</v>
      </c>
      <c r="V4" s="660">
        <v>11</v>
      </c>
      <c r="W4" s="660">
        <v>28</v>
      </c>
      <c r="X4" s="660">
        <v>17</v>
      </c>
      <c r="Y4" s="660">
        <v>4</v>
      </c>
      <c r="Z4" s="660">
        <v>7</v>
      </c>
      <c r="AA4" s="660">
        <v>15</v>
      </c>
      <c r="AB4" s="660">
        <v>13</v>
      </c>
      <c r="AC4" s="660">
        <v>13</v>
      </c>
      <c r="AD4" s="660">
        <v>5</v>
      </c>
      <c r="AE4" s="660">
        <v>89</v>
      </c>
      <c r="AF4" s="660">
        <v>17</v>
      </c>
      <c r="AG4" s="660">
        <v>39</v>
      </c>
      <c r="AH4" s="661"/>
      <c r="AI4" s="660"/>
    </row>
    <row r="5" spans="1:35" s="21" customFormat="1" ht="18.75" customHeight="1" x14ac:dyDescent="0.15">
      <c r="A5" s="970"/>
      <c r="B5" s="549">
        <f t="shared" ref="B5:I5" si="0">B4/B$16</f>
        <v>3.4768211920529798E-2</v>
      </c>
      <c r="C5" s="549">
        <f t="shared" si="0"/>
        <v>2.6479750778816199E-2</v>
      </c>
      <c r="D5" s="549">
        <f t="shared" si="0"/>
        <v>4.3579766536964978E-2</v>
      </c>
      <c r="E5" s="549">
        <f t="shared" si="0"/>
        <v>4.4504995458673931E-2</v>
      </c>
      <c r="F5" s="549">
        <f t="shared" si="0"/>
        <v>2.0793950850661626E-2</v>
      </c>
      <c r="G5" s="549">
        <f t="shared" si="0"/>
        <v>9.7514941805599241E-3</v>
      </c>
      <c r="H5" s="549">
        <f t="shared" si="0"/>
        <v>2.8461784457946913E-2</v>
      </c>
      <c r="I5" s="549">
        <f t="shared" si="0"/>
        <v>1.1667810569663692E-2</v>
      </c>
      <c r="J5" s="549">
        <f t="shared" ref="J5" si="1">J4/J$16</f>
        <v>3.0162412993039442E-2</v>
      </c>
      <c r="K5" s="549">
        <f>K4/K$16</f>
        <v>2.5280149413020276E-2</v>
      </c>
      <c r="M5" s="664">
        <v>2</v>
      </c>
      <c r="N5" s="663">
        <v>24</v>
      </c>
      <c r="O5" s="663">
        <v>28</v>
      </c>
      <c r="P5" s="663">
        <v>48</v>
      </c>
      <c r="Q5" s="663">
        <v>40</v>
      </c>
      <c r="R5" s="663">
        <v>39</v>
      </c>
      <c r="S5" s="663">
        <v>42</v>
      </c>
      <c r="T5" s="663">
        <v>38</v>
      </c>
      <c r="U5" s="663">
        <v>17</v>
      </c>
      <c r="V5" s="663">
        <v>20</v>
      </c>
      <c r="W5" s="663">
        <v>79</v>
      </c>
      <c r="X5" s="663">
        <v>58</v>
      </c>
      <c r="Y5" s="663">
        <v>13</v>
      </c>
      <c r="Z5" s="663">
        <v>50</v>
      </c>
      <c r="AA5" s="663">
        <v>56</v>
      </c>
      <c r="AB5" s="663">
        <v>70</v>
      </c>
      <c r="AC5" s="663">
        <v>70</v>
      </c>
      <c r="AD5" s="663">
        <v>33</v>
      </c>
      <c r="AE5" s="663">
        <v>307</v>
      </c>
      <c r="AF5" s="663">
        <v>134</v>
      </c>
      <c r="AG5" s="663">
        <v>104</v>
      </c>
      <c r="AH5" s="664">
        <v>8</v>
      </c>
      <c r="AI5" s="663"/>
    </row>
    <row r="6" spans="1:35" s="21" customFormat="1" ht="18.75" customHeight="1" x14ac:dyDescent="0.15">
      <c r="A6" s="968" t="s">
        <v>29</v>
      </c>
      <c r="B6" s="546">
        <f>SUM(N5:P5)</f>
        <v>100</v>
      </c>
      <c r="C6" s="546">
        <f>SUM(Q5:R5)</f>
        <v>79</v>
      </c>
      <c r="D6" s="546">
        <f>SUM(S5:V5)</f>
        <v>117</v>
      </c>
      <c r="E6" s="546">
        <f>SUM(W5:Y5)</f>
        <v>150</v>
      </c>
      <c r="F6" s="546">
        <f>SUM(Z5:AA5)</f>
        <v>106</v>
      </c>
      <c r="G6" s="546">
        <f>SUM(AB5:AD5)</f>
        <v>173</v>
      </c>
      <c r="H6" s="546">
        <f>AE5</f>
        <v>307</v>
      </c>
      <c r="I6" s="546">
        <f>AF5</f>
        <v>134</v>
      </c>
      <c r="J6" s="546">
        <f>SUM(AG5:AH5)</f>
        <v>112</v>
      </c>
      <c r="K6" s="547">
        <f>SUM(B6:J6)</f>
        <v>1278</v>
      </c>
      <c r="M6" s="661">
        <v>3</v>
      </c>
      <c r="N6" s="660">
        <v>60</v>
      </c>
      <c r="O6" s="660">
        <v>75</v>
      </c>
      <c r="P6" s="660">
        <v>54</v>
      </c>
      <c r="Q6" s="660">
        <v>85</v>
      </c>
      <c r="R6" s="660">
        <v>74</v>
      </c>
      <c r="S6" s="660">
        <v>65</v>
      </c>
      <c r="T6" s="660">
        <v>55</v>
      </c>
      <c r="U6" s="660">
        <v>62</v>
      </c>
      <c r="V6" s="660">
        <v>57</v>
      </c>
      <c r="W6" s="660">
        <v>188</v>
      </c>
      <c r="X6" s="660">
        <v>93</v>
      </c>
      <c r="Y6" s="660">
        <v>14</v>
      </c>
      <c r="Z6" s="660">
        <v>114</v>
      </c>
      <c r="AA6" s="660">
        <v>153</v>
      </c>
      <c r="AB6" s="660">
        <v>149</v>
      </c>
      <c r="AC6" s="660">
        <v>235</v>
      </c>
      <c r="AD6" s="660">
        <v>187</v>
      </c>
      <c r="AE6" s="660">
        <v>699</v>
      </c>
      <c r="AF6" s="660">
        <v>310</v>
      </c>
      <c r="AG6" s="660">
        <v>220</v>
      </c>
      <c r="AH6" s="661">
        <v>10</v>
      </c>
      <c r="AI6" s="660"/>
    </row>
    <row r="7" spans="1:35" s="21" customFormat="1" ht="18.75" customHeight="1" x14ac:dyDescent="0.15">
      <c r="A7" s="970"/>
      <c r="B7" s="549">
        <f t="shared" ref="B7:I7" si="2">B6/B$16</f>
        <v>8.2781456953642391E-2</v>
      </c>
      <c r="C7" s="549">
        <f t="shared" si="2"/>
        <v>6.1526479750778816E-2</v>
      </c>
      <c r="D7" s="549">
        <f t="shared" si="2"/>
        <v>9.1050583657587544E-2</v>
      </c>
      <c r="E7" s="549">
        <f t="shared" si="2"/>
        <v>0.13623978201634879</v>
      </c>
      <c r="F7" s="549">
        <f t="shared" si="2"/>
        <v>0.1001890359168242</v>
      </c>
      <c r="G7" s="549">
        <f t="shared" si="2"/>
        <v>5.4419628814092479E-2</v>
      </c>
      <c r="H7" s="549">
        <f t="shared" si="2"/>
        <v>9.817716661336745E-2</v>
      </c>
      <c r="I7" s="549">
        <f t="shared" si="2"/>
        <v>9.196980096087852E-2</v>
      </c>
      <c r="J7" s="549">
        <f t="shared" ref="J7" si="3">J6/J$16</f>
        <v>8.6620262954369684E-2</v>
      </c>
      <c r="K7" s="549">
        <f>K6/K$16</f>
        <v>8.5245464247598726E-2</v>
      </c>
      <c r="M7" s="664">
        <v>4</v>
      </c>
      <c r="N7" s="663">
        <v>140</v>
      </c>
      <c r="O7" s="663">
        <v>164</v>
      </c>
      <c r="P7" s="663">
        <v>171</v>
      </c>
      <c r="Q7" s="663">
        <v>286</v>
      </c>
      <c r="R7" s="663">
        <v>237</v>
      </c>
      <c r="S7" s="663">
        <v>162</v>
      </c>
      <c r="T7" s="663">
        <v>69</v>
      </c>
      <c r="U7" s="663">
        <v>136</v>
      </c>
      <c r="V7" s="663">
        <v>109</v>
      </c>
      <c r="W7" s="663">
        <v>236</v>
      </c>
      <c r="X7" s="663">
        <v>118</v>
      </c>
      <c r="Y7" s="663">
        <v>38</v>
      </c>
      <c r="Z7" s="663">
        <v>192</v>
      </c>
      <c r="AA7" s="663">
        <v>213</v>
      </c>
      <c r="AB7" s="663">
        <v>264</v>
      </c>
      <c r="AC7" s="663">
        <v>454</v>
      </c>
      <c r="AD7" s="663">
        <v>486</v>
      </c>
      <c r="AE7" s="663">
        <v>1129</v>
      </c>
      <c r="AF7" s="663">
        <v>565</v>
      </c>
      <c r="AG7" s="663">
        <v>433</v>
      </c>
      <c r="AH7" s="664">
        <v>46</v>
      </c>
      <c r="AI7" s="663"/>
    </row>
    <row r="8" spans="1:35" s="21" customFormat="1" ht="18.75" customHeight="1" x14ac:dyDescent="0.15">
      <c r="A8" s="968" t="s">
        <v>30</v>
      </c>
      <c r="B8" s="546">
        <f>SUM(N6:P6)</f>
        <v>189</v>
      </c>
      <c r="C8" s="546">
        <f>SUM(Q6:R6)</f>
        <v>159</v>
      </c>
      <c r="D8" s="546">
        <f>SUM(S6:V6)</f>
        <v>239</v>
      </c>
      <c r="E8" s="546">
        <f>SUM(W6:Y6)</f>
        <v>295</v>
      </c>
      <c r="F8" s="546">
        <f>SUM(Z6:AA6)</f>
        <v>267</v>
      </c>
      <c r="G8" s="546">
        <f>SUM(AB6:AD6)</f>
        <v>571</v>
      </c>
      <c r="H8" s="546">
        <f>AE6</f>
        <v>699</v>
      </c>
      <c r="I8" s="546">
        <f>AF6</f>
        <v>310</v>
      </c>
      <c r="J8" s="546">
        <f>SUM(AG6:AH6)</f>
        <v>230</v>
      </c>
      <c r="K8" s="547">
        <f>SUM(B8:J8)</f>
        <v>2959</v>
      </c>
      <c r="M8" s="661">
        <v>5</v>
      </c>
      <c r="N8" s="660">
        <v>89</v>
      </c>
      <c r="O8" s="660">
        <v>140</v>
      </c>
      <c r="P8" s="660">
        <v>91</v>
      </c>
      <c r="Q8" s="660">
        <v>200</v>
      </c>
      <c r="R8" s="660">
        <v>164</v>
      </c>
      <c r="S8" s="660">
        <v>113</v>
      </c>
      <c r="T8" s="660">
        <v>68</v>
      </c>
      <c r="U8" s="660">
        <v>71</v>
      </c>
      <c r="V8" s="660">
        <v>61</v>
      </c>
      <c r="W8" s="660">
        <v>114</v>
      </c>
      <c r="X8" s="660">
        <v>47</v>
      </c>
      <c r="Y8" s="660">
        <v>26</v>
      </c>
      <c r="Z8" s="660">
        <v>118</v>
      </c>
      <c r="AA8" s="660">
        <v>98</v>
      </c>
      <c r="AB8" s="660">
        <v>371</v>
      </c>
      <c r="AC8" s="660">
        <v>423</v>
      </c>
      <c r="AD8" s="660">
        <v>249</v>
      </c>
      <c r="AE8" s="660">
        <v>762</v>
      </c>
      <c r="AF8" s="660">
        <v>377</v>
      </c>
      <c r="AG8" s="660">
        <v>338</v>
      </c>
      <c r="AH8" s="661">
        <v>29</v>
      </c>
      <c r="AI8" s="660"/>
    </row>
    <row r="9" spans="1:35" s="21" customFormat="1" ht="18.75" customHeight="1" x14ac:dyDescent="0.15">
      <c r="A9" s="970"/>
      <c r="B9" s="549">
        <f t="shared" ref="B9:I9" si="4">B8/B$16</f>
        <v>0.1564569536423841</v>
      </c>
      <c r="C9" s="549">
        <f t="shared" si="4"/>
        <v>0.12383177570093458</v>
      </c>
      <c r="D9" s="549">
        <f t="shared" si="4"/>
        <v>0.18599221789883269</v>
      </c>
      <c r="E9" s="549">
        <f t="shared" si="4"/>
        <v>0.26793823796548594</v>
      </c>
      <c r="F9" s="549">
        <f t="shared" si="4"/>
        <v>0.25236294896030248</v>
      </c>
      <c r="G9" s="549">
        <f t="shared" si="4"/>
        <v>0.17961623151934569</v>
      </c>
      <c r="H9" s="549">
        <f t="shared" si="4"/>
        <v>0.22353693636072913</v>
      </c>
      <c r="I9" s="549">
        <f t="shared" si="4"/>
        <v>0.21276595744680851</v>
      </c>
      <c r="J9" s="549">
        <f t="shared" ref="J9" si="5">J8/J$16</f>
        <v>0.17788089713843774</v>
      </c>
      <c r="K9" s="549">
        <f>K8/K$16</f>
        <v>0.19737193169690501</v>
      </c>
      <c r="M9" s="664">
        <v>6</v>
      </c>
      <c r="N9" s="663">
        <v>34</v>
      </c>
      <c r="O9" s="663">
        <v>30</v>
      </c>
      <c r="P9" s="663">
        <v>18</v>
      </c>
      <c r="Q9" s="663">
        <v>86</v>
      </c>
      <c r="R9" s="663">
        <v>39</v>
      </c>
      <c r="S9" s="663">
        <v>29</v>
      </c>
      <c r="T9" s="663">
        <v>13</v>
      </c>
      <c r="U9" s="663">
        <v>24</v>
      </c>
      <c r="V9" s="663">
        <v>18</v>
      </c>
      <c r="W9" s="663">
        <v>16</v>
      </c>
      <c r="X9" s="663">
        <v>7</v>
      </c>
      <c r="Y9" s="663">
        <v>5</v>
      </c>
      <c r="Z9" s="663">
        <v>18</v>
      </c>
      <c r="AA9" s="663">
        <v>24</v>
      </c>
      <c r="AB9" s="663">
        <v>44</v>
      </c>
      <c r="AC9" s="663">
        <v>88</v>
      </c>
      <c r="AD9" s="663">
        <v>25</v>
      </c>
      <c r="AE9" s="663">
        <v>141</v>
      </c>
      <c r="AF9" s="663">
        <v>54</v>
      </c>
      <c r="AG9" s="663">
        <v>56</v>
      </c>
      <c r="AH9" s="664">
        <v>10</v>
      </c>
      <c r="AI9" s="663"/>
    </row>
    <row r="10" spans="1:35" s="21" customFormat="1" ht="18.75" customHeight="1" x14ac:dyDescent="0.15">
      <c r="A10" s="968" t="s">
        <v>31</v>
      </c>
      <c r="B10" s="546">
        <f>SUM(N7:P7)</f>
        <v>475</v>
      </c>
      <c r="C10" s="546">
        <f>SUM(Q7:R7)</f>
        <v>523</v>
      </c>
      <c r="D10" s="546">
        <f>SUM(S7:V7)</f>
        <v>476</v>
      </c>
      <c r="E10" s="546">
        <f>SUM(W7:Y7)</f>
        <v>392</v>
      </c>
      <c r="F10" s="546">
        <f>SUM(Z7:AA7)</f>
        <v>405</v>
      </c>
      <c r="G10" s="546">
        <f>SUM(AB7:AD7)</f>
        <v>1204</v>
      </c>
      <c r="H10" s="546">
        <f>AE7</f>
        <v>1129</v>
      </c>
      <c r="I10" s="546">
        <f>AF7</f>
        <v>565</v>
      </c>
      <c r="J10" s="546">
        <f>SUM(AG7:AH7)</f>
        <v>479</v>
      </c>
      <c r="K10" s="547">
        <f>SUM(B10:J10)</f>
        <v>5648</v>
      </c>
      <c r="M10" s="664" t="s">
        <v>385</v>
      </c>
      <c r="N10" s="663"/>
      <c r="O10" s="663"/>
      <c r="P10" s="663"/>
      <c r="Q10" s="663"/>
      <c r="R10" s="663"/>
      <c r="S10" s="663"/>
      <c r="T10" s="663"/>
      <c r="U10" s="663"/>
      <c r="V10" s="663"/>
      <c r="W10" s="663"/>
      <c r="X10" s="663"/>
      <c r="Y10" s="663"/>
      <c r="Z10" s="663"/>
      <c r="AA10" s="663"/>
      <c r="AB10" s="663"/>
      <c r="AC10" s="663"/>
      <c r="AD10" s="663"/>
      <c r="AE10" s="663"/>
      <c r="AF10" s="663"/>
      <c r="AG10" s="663"/>
      <c r="AH10" s="664"/>
      <c r="AI10" s="663"/>
    </row>
    <row r="11" spans="1:35" s="21" customFormat="1" ht="18.75" customHeight="1" x14ac:dyDescent="0.15">
      <c r="A11" s="970"/>
      <c r="B11" s="549">
        <f t="shared" ref="B11:I11" si="6">B10/B$16</f>
        <v>0.39321192052980131</v>
      </c>
      <c r="C11" s="549">
        <f t="shared" si="6"/>
        <v>0.40732087227414332</v>
      </c>
      <c r="D11" s="549">
        <f t="shared" si="6"/>
        <v>0.37042801556420235</v>
      </c>
      <c r="E11" s="549">
        <f t="shared" si="6"/>
        <v>0.35603996366939145</v>
      </c>
      <c r="F11" s="549">
        <f t="shared" si="6"/>
        <v>0.3827977315689981</v>
      </c>
      <c r="G11" s="549">
        <f t="shared" si="6"/>
        <v>0.37873545139981124</v>
      </c>
      <c r="H11" s="549">
        <f t="shared" si="6"/>
        <v>0.3610489286856412</v>
      </c>
      <c r="I11" s="549">
        <f t="shared" si="6"/>
        <v>0.3877831159917639</v>
      </c>
      <c r="J11" s="549">
        <f t="shared" ref="J11" si="7">J10/J$16</f>
        <v>0.37045630317092032</v>
      </c>
      <c r="K11" s="549">
        <f>K10/K$16</f>
        <v>0.37673425827107793</v>
      </c>
    </row>
    <row r="12" spans="1:35" s="21" customFormat="1" ht="18.75" customHeight="1" x14ac:dyDescent="0.15">
      <c r="A12" s="968" t="s">
        <v>32</v>
      </c>
      <c r="B12" s="546">
        <f>SUM(N8:P8)</f>
        <v>320</v>
      </c>
      <c r="C12" s="546">
        <f>SUM(Q8:R8)</f>
        <v>364</v>
      </c>
      <c r="D12" s="546">
        <f>SUM(S8:V8)</f>
        <v>313</v>
      </c>
      <c r="E12" s="546">
        <f>SUM(W8:Y8)</f>
        <v>187</v>
      </c>
      <c r="F12" s="546">
        <f>SUM(Z8:AA8)</f>
        <v>216</v>
      </c>
      <c r="G12" s="546">
        <f>SUM(AB8:AD8)</f>
        <v>1043</v>
      </c>
      <c r="H12" s="546">
        <f>AE8</f>
        <v>762</v>
      </c>
      <c r="I12" s="546">
        <f>AF8</f>
        <v>377</v>
      </c>
      <c r="J12" s="546">
        <f>SUM(AG8:AH8)</f>
        <v>367</v>
      </c>
      <c r="K12" s="547">
        <f>SUM(B12:J12)</f>
        <v>3949</v>
      </c>
    </row>
    <row r="13" spans="1:35" s="21" customFormat="1" ht="18.75" customHeight="1" x14ac:dyDescent="0.15">
      <c r="A13" s="970"/>
      <c r="B13" s="549">
        <f t="shared" ref="B13:I13" si="8">B12/B$16</f>
        <v>0.26490066225165565</v>
      </c>
      <c r="C13" s="549">
        <f t="shared" si="8"/>
        <v>0.2834890965732087</v>
      </c>
      <c r="D13" s="549">
        <f t="shared" si="8"/>
        <v>0.24357976653696498</v>
      </c>
      <c r="E13" s="549">
        <f t="shared" si="8"/>
        <v>0.16984559491371481</v>
      </c>
      <c r="F13" s="549">
        <f t="shared" si="8"/>
        <v>0.20415879017013233</v>
      </c>
      <c r="G13" s="549">
        <f t="shared" si="8"/>
        <v>0.32809059452658068</v>
      </c>
      <c r="H13" s="549">
        <f t="shared" si="8"/>
        <v>0.2436840422129837</v>
      </c>
      <c r="I13" s="549">
        <f t="shared" si="8"/>
        <v>0.25875085792724778</v>
      </c>
      <c r="J13" s="549">
        <f t="shared" ref="J13" si="9">J12/J$16</f>
        <v>0.28383604021655068</v>
      </c>
      <c r="K13" s="549">
        <f>K12/K$16</f>
        <v>0.26340715048025615</v>
      </c>
    </row>
    <row r="14" spans="1:35" s="21" customFormat="1" ht="18.75" customHeight="1" x14ac:dyDescent="0.15">
      <c r="A14" s="968" t="s">
        <v>33</v>
      </c>
      <c r="B14" s="546">
        <f>SUM(N9:P9)</f>
        <v>82</v>
      </c>
      <c r="C14" s="546">
        <f>SUM(Q9:R9)</f>
        <v>125</v>
      </c>
      <c r="D14" s="546">
        <f>SUM(S9:V9)</f>
        <v>84</v>
      </c>
      <c r="E14" s="546">
        <f>SUM(W9:Y9)</f>
        <v>28</v>
      </c>
      <c r="F14" s="546">
        <f>SUM(Z9:AA9)</f>
        <v>42</v>
      </c>
      <c r="G14" s="546">
        <f>SUM(AB9:AD9)</f>
        <v>157</v>
      </c>
      <c r="H14" s="546">
        <f>AE9</f>
        <v>141</v>
      </c>
      <c r="I14" s="546">
        <f>AF9</f>
        <v>54</v>
      </c>
      <c r="J14" s="546">
        <f>SUM(AG9:AH9)</f>
        <v>66</v>
      </c>
      <c r="K14" s="547">
        <f>SUM(B14:J14)</f>
        <v>779</v>
      </c>
    </row>
    <row r="15" spans="1:35" s="21" customFormat="1" ht="18.75" customHeight="1" x14ac:dyDescent="0.15">
      <c r="A15" s="970"/>
      <c r="B15" s="549">
        <f t="shared" ref="B15:I15" si="10">B14/B$16</f>
        <v>6.7880794701986755E-2</v>
      </c>
      <c r="C15" s="549">
        <f t="shared" si="10"/>
        <v>9.7352024922118377E-2</v>
      </c>
      <c r="D15" s="549">
        <f t="shared" si="10"/>
        <v>6.5369649805447474E-2</v>
      </c>
      <c r="E15" s="549">
        <f t="shared" si="10"/>
        <v>2.5431425976385105E-2</v>
      </c>
      <c r="F15" s="549">
        <f t="shared" si="10"/>
        <v>3.9697542533081283E-2</v>
      </c>
      <c r="G15" s="549">
        <f t="shared" si="10"/>
        <v>4.9386599559609938E-2</v>
      </c>
      <c r="H15" s="549">
        <f t="shared" si="10"/>
        <v>4.5091141669331626E-2</v>
      </c>
      <c r="I15" s="549">
        <f t="shared" si="10"/>
        <v>3.7062457103637612E-2</v>
      </c>
      <c r="J15" s="549">
        <f t="shared" ref="J15" si="11">J14/J$16</f>
        <v>5.1044083526682132E-2</v>
      </c>
      <c r="K15" s="549">
        <f>K14/K$16</f>
        <v>5.1961045891141942E-2</v>
      </c>
    </row>
    <row r="16" spans="1:35" s="21" customFormat="1" ht="18.75" customHeight="1" x14ac:dyDescent="0.15">
      <c r="A16" s="991" t="s">
        <v>11</v>
      </c>
      <c r="B16" s="550">
        <f>SUM(B4,B6,B8,B10,B12,B14)</f>
        <v>1208</v>
      </c>
      <c r="C16" s="550">
        <f t="shared" ref="C16:J17" si="12">SUM(C4,C6,C8,C10,C12,C14)</f>
        <v>1284</v>
      </c>
      <c r="D16" s="550">
        <f t="shared" si="12"/>
        <v>1285</v>
      </c>
      <c r="E16" s="550">
        <f t="shared" si="12"/>
        <v>1101</v>
      </c>
      <c r="F16" s="550">
        <f t="shared" si="12"/>
        <v>1058</v>
      </c>
      <c r="G16" s="550">
        <f t="shared" si="12"/>
        <v>3179</v>
      </c>
      <c r="H16" s="550">
        <f t="shared" si="12"/>
        <v>3127</v>
      </c>
      <c r="I16" s="550">
        <f t="shared" si="12"/>
        <v>1457</v>
      </c>
      <c r="J16" s="550">
        <f t="shared" si="12"/>
        <v>1293</v>
      </c>
      <c r="K16" s="551">
        <f>SUM(K4,K6,K8,K10,K12,K14)</f>
        <v>14992</v>
      </c>
    </row>
    <row r="17" spans="1:11" s="21" customFormat="1" ht="18.75" customHeight="1" x14ac:dyDescent="0.15">
      <c r="A17" s="992"/>
      <c r="B17" s="552">
        <f t="shared" ref="B17:I17" si="13">SUM(B5,B7,B9,B11,B13,B15)</f>
        <v>0.99999999999999989</v>
      </c>
      <c r="C17" s="552">
        <f t="shared" si="13"/>
        <v>0.99999999999999989</v>
      </c>
      <c r="D17" s="552">
        <f t="shared" si="13"/>
        <v>1</v>
      </c>
      <c r="E17" s="552">
        <f t="shared" si="13"/>
        <v>1</v>
      </c>
      <c r="F17" s="552">
        <f t="shared" si="13"/>
        <v>1</v>
      </c>
      <c r="G17" s="552">
        <f t="shared" si="13"/>
        <v>0.99999999999999978</v>
      </c>
      <c r="H17" s="552">
        <f t="shared" si="13"/>
        <v>1</v>
      </c>
      <c r="I17" s="552">
        <f t="shared" si="13"/>
        <v>1</v>
      </c>
      <c r="J17" s="552">
        <f t="shared" si="12"/>
        <v>1</v>
      </c>
      <c r="K17" s="552">
        <f>SUM(K5,K7,K9,K11,K13,K15)</f>
        <v>1</v>
      </c>
    </row>
    <row r="20" spans="1:11" x14ac:dyDescent="0.15">
      <c r="A20" s="629"/>
      <c r="B20" s="632"/>
      <c r="C20" s="632"/>
      <c r="D20" s="632"/>
      <c r="E20" s="632"/>
      <c r="F20" s="632"/>
      <c r="G20" s="632"/>
      <c r="H20" s="632"/>
      <c r="I20" s="632"/>
    </row>
    <row r="21" spans="1:11" x14ac:dyDescent="0.15">
      <c r="A21" s="136"/>
      <c r="B21" s="136"/>
      <c r="C21" s="136"/>
      <c r="D21" s="136"/>
      <c r="E21" s="136"/>
      <c r="F21" s="136"/>
      <c r="G21" s="136"/>
      <c r="H21" s="136"/>
      <c r="I21" s="136"/>
    </row>
  </sheetData>
  <mergeCells count="7">
    <mergeCell ref="A16:A17"/>
    <mergeCell ref="A4:A5"/>
    <mergeCell ref="A6:A7"/>
    <mergeCell ref="A8:A9"/>
    <mergeCell ref="A10:A11"/>
    <mergeCell ref="A12:A13"/>
    <mergeCell ref="A14:A15"/>
  </mergeCells>
  <phoneticPr fontId="2"/>
  <printOptions horizontalCentered="1"/>
  <pageMargins left="0.70866141732283472" right="0.70866141732283472" top="0.74803149606299213" bottom="0.74803149606299213"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7105" r:id="rId4" name="Button 1">
              <controlPr defaultSize="0" print="0" autoFill="0" autoPict="0" macro="[0]!データ削除_状態像区分入院時住所地">
                <anchor moveWithCells="1" sizeWithCells="1">
                  <from>
                    <xdr:col>11</xdr:col>
                    <xdr:colOff>447675</xdr:colOff>
                    <xdr:row>11</xdr:row>
                    <xdr:rowOff>85725</xdr:rowOff>
                  </from>
                  <to>
                    <xdr:col>15</xdr:col>
                    <xdr:colOff>66675</xdr:colOff>
                    <xdr:row>13</xdr:row>
                    <xdr:rowOff>219075</xdr:rowOff>
                  </to>
                </anchor>
              </controlPr>
            </control>
          </mc:Choice>
        </mc:AlternateContent>
      </controls>
    </mc:Choice>
  </mc:AlternateContent>
  <tableParts count="1">
    <tablePart r:id="rId5"/>
  </tableParts>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3">
    <tabColor theme="5" tint="0.39997558519241921"/>
    <pageSetUpPr fitToPage="1"/>
  </sheetPr>
  <dimension ref="A1:AI69"/>
  <sheetViews>
    <sheetView showGridLines="0" view="pageBreakPreview" topLeftCell="C1" zoomScale="90" zoomScaleNormal="70" zoomScaleSheetLayoutView="90" workbookViewId="0">
      <selection activeCell="M16" sqref="M1:AI1048576"/>
    </sheetView>
  </sheetViews>
  <sheetFormatPr defaultColWidth="7.125" defaultRowHeight="18.75" x14ac:dyDescent="0.15"/>
  <cols>
    <col min="1" max="1" width="31.75" style="537" customWidth="1"/>
    <col min="2" max="11" width="8.75" style="537" customWidth="1"/>
    <col min="12" max="12" width="7.25" style="537" bestFit="1" customWidth="1"/>
    <col min="13" max="13" width="10.375" style="537" hidden="1" customWidth="1"/>
    <col min="14" max="14" width="10.75" style="537" hidden="1" customWidth="1"/>
    <col min="15" max="16" width="12.5" style="537" hidden="1" customWidth="1"/>
    <col min="17" max="17" width="8.875" style="537" hidden="1" customWidth="1"/>
    <col min="18" max="18" width="12.5" style="537" hidden="1" customWidth="1"/>
    <col min="19" max="19" width="14.25" style="537" hidden="1" customWidth="1"/>
    <col min="20" max="20" width="16.125" style="537" hidden="1" customWidth="1"/>
    <col min="21" max="22" width="12.5" style="537" hidden="1" customWidth="1"/>
    <col min="23" max="23" width="16.125" style="537" hidden="1" customWidth="1"/>
    <col min="24" max="24" width="14.25" style="537" hidden="1" customWidth="1"/>
    <col min="25" max="27" width="12.5" style="537" hidden="1" customWidth="1"/>
    <col min="28" max="31" width="10.75" style="537" hidden="1" customWidth="1"/>
    <col min="32" max="32" width="8.875" style="537" hidden="1" customWidth="1"/>
    <col min="33" max="33" width="10.75" style="537" hidden="1" customWidth="1"/>
    <col min="34" max="34" width="14.25" style="537" hidden="1" customWidth="1"/>
    <col min="35" max="35" width="8.75" style="537" hidden="1" customWidth="1"/>
    <col min="36" max="36" width="7.125" style="537" customWidth="1"/>
    <col min="37" max="16384" width="7.125" style="537"/>
  </cols>
  <sheetData>
    <row r="1" spans="1:35" s="3" customFormat="1" ht="19.5" x14ac:dyDescent="0.15">
      <c r="A1" s="2" t="s">
        <v>470</v>
      </c>
    </row>
    <row r="2" spans="1:35" ht="19.5" thickBot="1" x14ac:dyDescent="0.2">
      <c r="A2" s="4"/>
    </row>
    <row r="3" spans="1:35" ht="39" thickTop="1" thickBot="1" x14ac:dyDescent="0.2">
      <c r="A3" s="545" t="s">
        <v>240</v>
      </c>
      <c r="B3" s="545" t="s">
        <v>387</v>
      </c>
      <c r="C3" s="545" t="s">
        <v>388</v>
      </c>
      <c r="D3" s="545" t="s">
        <v>389</v>
      </c>
      <c r="E3" s="545" t="s">
        <v>390</v>
      </c>
      <c r="F3" s="545" t="s">
        <v>391</v>
      </c>
      <c r="G3" s="545" t="s">
        <v>392</v>
      </c>
      <c r="H3" s="545" t="s">
        <v>393</v>
      </c>
      <c r="I3" s="545" t="s">
        <v>394</v>
      </c>
      <c r="J3" s="571" t="s">
        <v>465</v>
      </c>
      <c r="K3" s="545" t="s">
        <v>62</v>
      </c>
      <c r="M3" s="729" t="s">
        <v>373</v>
      </c>
      <c r="N3" s="673" t="s">
        <v>395</v>
      </c>
      <c r="O3" s="673" t="s">
        <v>396</v>
      </c>
      <c r="P3" s="673" t="s">
        <v>397</v>
      </c>
      <c r="Q3" s="673" t="s">
        <v>398</v>
      </c>
      <c r="R3" s="673" t="s">
        <v>399</v>
      </c>
      <c r="S3" s="673" t="s">
        <v>400</v>
      </c>
      <c r="T3" s="673" t="s">
        <v>401</v>
      </c>
      <c r="U3" s="673" t="s">
        <v>402</v>
      </c>
      <c r="V3" s="673" t="s">
        <v>403</v>
      </c>
      <c r="W3" s="673" t="s">
        <v>404</v>
      </c>
      <c r="X3" s="673" t="s">
        <v>565</v>
      </c>
      <c r="Y3" s="673" t="s">
        <v>566</v>
      </c>
      <c r="Z3" s="673" t="s">
        <v>567</v>
      </c>
      <c r="AA3" s="673" t="s">
        <v>568</v>
      </c>
      <c r="AB3" s="673" t="s">
        <v>569</v>
      </c>
      <c r="AC3" s="673" t="s">
        <v>570</v>
      </c>
      <c r="AD3" s="673" t="s">
        <v>571</v>
      </c>
      <c r="AE3" s="673" t="s">
        <v>572</v>
      </c>
      <c r="AF3" s="673" t="s">
        <v>573</v>
      </c>
      <c r="AG3" s="673" t="s">
        <v>620</v>
      </c>
      <c r="AH3" s="635" t="s">
        <v>621</v>
      </c>
      <c r="AI3" s="673" t="s">
        <v>609</v>
      </c>
    </row>
    <row r="4" spans="1:35" s="21" customFormat="1" ht="21" customHeight="1" thickTop="1" x14ac:dyDescent="0.15">
      <c r="A4" s="981" t="s">
        <v>450</v>
      </c>
      <c r="B4" s="547">
        <f>SUM(N4:P4)</f>
        <v>191</v>
      </c>
      <c r="C4" s="547">
        <f>SUM(Q4:R4)</f>
        <v>148</v>
      </c>
      <c r="D4" s="547">
        <f>SUM(S4:V4)</f>
        <v>254</v>
      </c>
      <c r="E4" s="547">
        <f>SUM(W4:Y4)</f>
        <v>197</v>
      </c>
      <c r="F4" s="547">
        <f>SUM(Z4:AA4)</f>
        <v>210</v>
      </c>
      <c r="G4" s="547">
        <f>SUM(AB4:AD4)</f>
        <v>245</v>
      </c>
      <c r="H4" s="547">
        <f>AE4</f>
        <v>433</v>
      </c>
      <c r="I4" s="547">
        <f>AF4</f>
        <v>219</v>
      </c>
      <c r="J4" s="547">
        <f>SUM(AG4:AH4)</f>
        <v>178</v>
      </c>
      <c r="K4" s="547">
        <f>SUM(B4:J4)</f>
        <v>2075</v>
      </c>
      <c r="M4" s="630">
        <v>97</v>
      </c>
      <c r="N4" s="636">
        <v>61</v>
      </c>
      <c r="O4" s="636">
        <v>68</v>
      </c>
      <c r="P4" s="636">
        <v>62</v>
      </c>
      <c r="Q4" s="636">
        <v>67</v>
      </c>
      <c r="R4" s="636">
        <v>81</v>
      </c>
      <c r="S4" s="636">
        <v>99</v>
      </c>
      <c r="T4" s="636">
        <v>50</v>
      </c>
      <c r="U4" s="636">
        <v>66</v>
      </c>
      <c r="V4" s="636">
        <v>39</v>
      </c>
      <c r="W4" s="636">
        <v>122</v>
      </c>
      <c r="X4" s="636">
        <v>63</v>
      </c>
      <c r="Y4" s="636">
        <v>12</v>
      </c>
      <c r="Z4" s="636">
        <v>91</v>
      </c>
      <c r="AA4" s="636">
        <v>119</v>
      </c>
      <c r="AB4" s="636">
        <v>79</v>
      </c>
      <c r="AC4" s="636">
        <v>103</v>
      </c>
      <c r="AD4" s="636">
        <v>63</v>
      </c>
      <c r="AE4" s="636">
        <v>433</v>
      </c>
      <c r="AF4" s="636">
        <v>219</v>
      </c>
      <c r="AG4" s="636">
        <v>168</v>
      </c>
      <c r="AH4" s="630">
        <v>10</v>
      </c>
      <c r="AI4" s="674"/>
    </row>
    <row r="5" spans="1:35" s="21" customFormat="1" ht="21" customHeight="1" x14ac:dyDescent="0.15">
      <c r="A5" s="982"/>
      <c r="B5" s="569">
        <f t="shared" ref="B5:K5" si="0">B4/B$10</f>
        <v>0.15811258278145696</v>
      </c>
      <c r="C5" s="569">
        <f t="shared" si="0"/>
        <v>0.11526479750778816</v>
      </c>
      <c r="D5" s="569">
        <f t="shared" si="0"/>
        <v>0.19766536964980544</v>
      </c>
      <c r="E5" s="569">
        <f t="shared" si="0"/>
        <v>0.17892824704813806</v>
      </c>
      <c r="F5" s="569">
        <f t="shared" si="0"/>
        <v>0.19848771266540643</v>
      </c>
      <c r="G5" s="569">
        <f t="shared" si="0"/>
        <v>7.7068260459263918E-2</v>
      </c>
      <c r="H5" s="569">
        <f t="shared" si="0"/>
        <v>0.13847137831787656</v>
      </c>
      <c r="I5" s="569">
        <f t="shared" si="0"/>
        <v>0.15030885380919698</v>
      </c>
      <c r="J5" s="569">
        <f t="shared" si="0"/>
        <v>0.13766434648105183</v>
      </c>
      <c r="K5" s="549">
        <f t="shared" si="0"/>
        <v>0.13840715048025615</v>
      </c>
      <c r="M5" s="630">
        <v>98</v>
      </c>
      <c r="N5" s="636">
        <v>254</v>
      </c>
      <c r="O5" s="636">
        <v>321</v>
      </c>
      <c r="P5" s="636">
        <v>290</v>
      </c>
      <c r="Q5" s="636">
        <v>562</v>
      </c>
      <c r="R5" s="636">
        <v>427</v>
      </c>
      <c r="S5" s="636">
        <v>279</v>
      </c>
      <c r="T5" s="636">
        <v>177</v>
      </c>
      <c r="U5" s="636">
        <v>217</v>
      </c>
      <c r="V5" s="636">
        <v>202</v>
      </c>
      <c r="W5" s="636">
        <v>467</v>
      </c>
      <c r="X5" s="636">
        <v>201</v>
      </c>
      <c r="Y5" s="636">
        <v>65</v>
      </c>
      <c r="Z5" s="636">
        <v>342</v>
      </c>
      <c r="AA5" s="636">
        <v>380</v>
      </c>
      <c r="AB5" s="636">
        <v>762</v>
      </c>
      <c r="AC5" s="636">
        <v>1130</v>
      </c>
      <c r="AD5" s="636">
        <v>887</v>
      </c>
      <c r="AE5" s="636">
        <v>2274</v>
      </c>
      <c r="AF5" s="636">
        <v>1065</v>
      </c>
      <c r="AG5" s="636">
        <v>910</v>
      </c>
      <c r="AH5" s="630">
        <v>84</v>
      </c>
      <c r="AI5" s="674"/>
    </row>
    <row r="6" spans="1:35" s="21" customFormat="1" ht="21" customHeight="1" x14ac:dyDescent="0.15">
      <c r="A6" s="981" t="s">
        <v>339</v>
      </c>
      <c r="B6" s="547">
        <f>SUM(N5:P5)</f>
        <v>865</v>
      </c>
      <c r="C6" s="547">
        <f>SUM(Q5:R5)</f>
        <v>989</v>
      </c>
      <c r="D6" s="547">
        <f>SUM(S5:V5)</f>
        <v>875</v>
      </c>
      <c r="E6" s="547">
        <f>SUM(W5:Y5)</f>
        <v>733</v>
      </c>
      <c r="F6" s="547">
        <f>SUM(Z5:AA5)</f>
        <v>722</v>
      </c>
      <c r="G6" s="547">
        <f>SUM(AB5:AD5)</f>
        <v>2779</v>
      </c>
      <c r="H6" s="547">
        <f>AE5</f>
        <v>2274</v>
      </c>
      <c r="I6" s="547">
        <f>AF5</f>
        <v>1065</v>
      </c>
      <c r="J6" s="547">
        <f>SUM(AG5:AH5)</f>
        <v>994</v>
      </c>
      <c r="K6" s="547">
        <f>SUM(B6:J6)</f>
        <v>11296</v>
      </c>
      <c r="M6" s="630">
        <v>99</v>
      </c>
      <c r="N6" s="636">
        <v>38</v>
      </c>
      <c r="O6" s="636">
        <v>69</v>
      </c>
      <c r="P6" s="636">
        <v>45</v>
      </c>
      <c r="Q6" s="636">
        <v>80</v>
      </c>
      <c r="R6" s="636">
        <v>67</v>
      </c>
      <c r="S6" s="636">
        <v>43</v>
      </c>
      <c r="T6" s="636">
        <v>31</v>
      </c>
      <c r="U6" s="636">
        <v>47</v>
      </c>
      <c r="V6" s="636">
        <v>35</v>
      </c>
      <c r="W6" s="636">
        <v>72</v>
      </c>
      <c r="X6" s="636">
        <v>76</v>
      </c>
      <c r="Y6" s="636">
        <v>23</v>
      </c>
      <c r="Z6" s="636">
        <v>66</v>
      </c>
      <c r="AA6" s="636">
        <v>60</v>
      </c>
      <c r="AB6" s="636">
        <v>70</v>
      </c>
      <c r="AC6" s="636">
        <v>50</v>
      </c>
      <c r="AD6" s="636">
        <v>35</v>
      </c>
      <c r="AE6" s="636">
        <v>420</v>
      </c>
      <c r="AF6" s="636">
        <v>173</v>
      </c>
      <c r="AG6" s="636">
        <v>112</v>
      </c>
      <c r="AH6" s="630">
        <v>9</v>
      </c>
      <c r="AI6" s="674"/>
    </row>
    <row r="7" spans="1:35" s="21" customFormat="1" ht="21" customHeight="1" x14ac:dyDescent="0.15">
      <c r="A7" s="982"/>
      <c r="B7" s="569">
        <f t="shared" ref="B7:K7" si="1">B6/B$10</f>
        <v>0.71605960264900659</v>
      </c>
      <c r="C7" s="569">
        <f t="shared" si="1"/>
        <v>0.77024922118380057</v>
      </c>
      <c r="D7" s="569">
        <f t="shared" si="1"/>
        <v>0.68093385214007784</v>
      </c>
      <c r="E7" s="569">
        <f t="shared" si="1"/>
        <v>0.66575840145322429</v>
      </c>
      <c r="F7" s="569">
        <f t="shared" si="1"/>
        <v>0.68241965973534968</v>
      </c>
      <c r="G7" s="569">
        <f t="shared" si="1"/>
        <v>0.87417426863793646</v>
      </c>
      <c r="H7" s="569">
        <f t="shared" si="1"/>
        <v>0.72721458266709305</v>
      </c>
      <c r="I7" s="569">
        <f t="shared" si="1"/>
        <v>0.73095401509951952</v>
      </c>
      <c r="J7" s="569">
        <f t="shared" si="1"/>
        <v>0.76875483372003095</v>
      </c>
      <c r="K7" s="569">
        <f t="shared" si="1"/>
        <v>0.75346851654215585</v>
      </c>
      <c r="M7" s="402"/>
    </row>
    <row r="8" spans="1:35" s="21" customFormat="1" x14ac:dyDescent="0.15">
      <c r="A8" s="983" t="s">
        <v>36</v>
      </c>
      <c r="B8" s="547">
        <f>SUM(N6:P6)</f>
        <v>152</v>
      </c>
      <c r="C8" s="547">
        <f>SUM(Q6:R6)</f>
        <v>147</v>
      </c>
      <c r="D8" s="547">
        <f>SUM(S6:V6)</f>
        <v>156</v>
      </c>
      <c r="E8" s="547">
        <f>SUM(W6:Y6)</f>
        <v>171</v>
      </c>
      <c r="F8" s="547">
        <f>SUM(Z6:AA6)</f>
        <v>126</v>
      </c>
      <c r="G8" s="547">
        <f>SUM(AB6:AD6)</f>
        <v>155</v>
      </c>
      <c r="H8" s="547">
        <f>AE6</f>
        <v>420</v>
      </c>
      <c r="I8" s="547">
        <f>AF6</f>
        <v>173</v>
      </c>
      <c r="J8" s="547">
        <f>SUM(AG6:AH6)</f>
        <v>121</v>
      </c>
      <c r="K8" s="547">
        <f>SUM(B8:J8)</f>
        <v>1621</v>
      </c>
    </row>
    <row r="9" spans="1:35" s="21" customFormat="1" x14ac:dyDescent="0.15">
      <c r="A9" s="984"/>
      <c r="B9" s="569">
        <f>B8/B$10</f>
        <v>0.12582781456953643</v>
      </c>
      <c r="C9" s="569">
        <f t="shared" ref="C9:J9" si="2">C8/C$10</f>
        <v>0.11448598130841121</v>
      </c>
      <c r="D9" s="569">
        <f t="shared" si="2"/>
        <v>0.12140077821011673</v>
      </c>
      <c r="E9" s="569">
        <f t="shared" si="2"/>
        <v>0.15531335149863759</v>
      </c>
      <c r="F9" s="569">
        <f t="shared" si="2"/>
        <v>0.11909262759924386</v>
      </c>
      <c r="G9" s="569">
        <f t="shared" si="2"/>
        <v>4.8757470902799624E-2</v>
      </c>
      <c r="H9" s="569">
        <f t="shared" si="2"/>
        <v>0.13431403901503039</v>
      </c>
      <c r="I9" s="569">
        <f t="shared" si="2"/>
        <v>0.11873713109128346</v>
      </c>
      <c r="J9" s="569">
        <f t="shared" si="2"/>
        <v>9.3580819798917247E-2</v>
      </c>
      <c r="K9" s="569">
        <f>K8/K$10</f>
        <v>0.10812433297758804</v>
      </c>
    </row>
    <row r="10" spans="1:35" s="21" customFormat="1" x14ac:dyDescent="0.15">
      <c r="A10" s="572" t="s">
        <v>11</v>
      </c>
      <c r="B10" s="550">
        <f>SUM(B4,B6,B8)</f>
        <v>1208</v>
      </c>
      <c r="C10" s="550">
        <f t="shared" ref="C10:K11" si="3">SUM(C4,C6,C8)</f>
        <v>1284</v>
      </c>
      <c r="D10" s="550">
        <f t="shared" si="3"/>
        <v>1285</v>
      </c>
      <c r="E10" s="550">
        <f t="shared" si="3"/>
        <v>1101</v>
      </c>
      <c r="F10" s="550">
        <f t="shared" si="3"/>
        <v>1058</v>
      </c>
      <c r="G10" s="550">
        <f t="shared" si="3"/>
        <v>3179</v>
      </c>
      <c r="H10" s="550">
        <f t="shared" si="3"/>
        <v>3127</v>
      </c>
      <c r="I10" s="550">
        <f t="shared" si="3"/>
        <v>1457</v>
      </c>
      <c r="J10" s="550">
        <f t="shared" si="3"/>
        <v>1293</v>
      </c>
      <c r="K10" s="550">
        <f t="shared" si="3"/>
        <v>14992</v>
      </c>
    </row>
    <row r="11" spans="1:35" s="21" customFormat="1" x14ac:dyDescent="0.15">
      <c r="A11" s="575"/>
      <c r="B11" s="552">
        <f>SUM(B5,B7,B9)</f>
        <v>1</v>
      </c>
      <c r="C11" s="552">
        <f t="shared" si="3"/>
        <v>1</v>
      </c>
      <c r="D11" s="552">
        <f t="shared" si="3"/>
        <v>1</v>
      </c>
      <c r="E11" s="552">
        <f t="shared" si="3"/>
        <v>0.99999999999999989</v>
      </c>
      <c r="F11" s="552">
        <f t="shared" si="3"/>
        <v>1</v>
      </c>
      <c r="G11" s="552">
        <f t="shared" si="3"/>
        <v>1</v>
      </c>
      <c r="H11" s="552">
        <f t="shared" si="3"/>
        <v>1</v>
      </c>
      <c r="I11" s="552">
        <f t="shared" si="3"/>
        <v>1</v>
      </c>
      <c r="J11" s="552">
        <f t="shared" si="3"/>
        <v>1</v>
      </c>
      <c r="K11" s="552">
        <f t="shared" si="3"/>
        <v>1</v>
      </c>
    </row>
    <row r="12" spans="1:35" ht="19.5" thickBot="1" x14ac:dyDescent="0.2">
      <c r="A12" s="4"/>
    </row>
    <row r="13" spans="1:35" ht="39" thickTop="1" thickBot="1" x14ac:dyDescent="0.2">
      <c r="A13" s="545" t="s">
        <v>346</v>
      </c>
      <c r="B13" s="545" t="s">
        <v>387</v>
      </c>
      <c r="C13" s="545" t="s">
        <v>388</v>
      </c>
      <c r="D13" s="545" t="s">
        <v>389</v>
      </c>
      <c r="E13" s="545" t="s">
        <v>390</v>
      </c>
      <c r="F13" s="545" t="s">
        <v>391</v>
      </c>
      <c r="G13" s="545" t="s">
        <v>392</v>
      </c>
      <c r="H13" s="545" t="s">
        <v>393</v>
      </c>
      <c r="I13" s="545" t="s">
        <v>394</v>
      </c>
      <c r="J13" s="571" t="s">
        <v>465</v>
      </c>
      <c r="K13" s="545" t="s">
        <v>62</v>
      </c>
      <c r="M13" s="738" t="s">
        <v>373</v>
      </c>
      <c r="N13" s="714" t="s">
        <v>395</v>
      </c>
      <c r="O13" s="714" t="s">
        <v>396</v>
      </c>
      <c r="P13" s="714" t="s">
        <v>397</v>
      </c>
      <c r="Q13" s="714" t="s">
        <v>398</v>
      </c>
      <c r="R13" s="714" t="s">
        <v>399</v>
      </c>
      <c r="S13" s="714" t="s">
        <v>400</v>
      </c>
      <c r="T13" s="714" t="s">
        <v>401</v>
      </c>
      <c r="U13" s="714" t="s">
        <v>402</v>
      </c>
      <c r="V13" s="714" t="s">
        <v>403</v>
      </c>
      <c r="W13" s="714" t="s">
        <v>404</v>
      </c>
      <c r="X13" s="714" t="s">
        <v>565</v>
      </c>
      <c r="Y13" s="714" t="s">
        <v>566</v>
      </c>
      <c r="Z13" s="714" t="s">
        <v>567</v>
      </c>
      <c r="AA13" s="714" t="s">
        <v>568</v>
      </c>
      <c r="AB13" s="714" t="s">
        <v>569</v>
      </c>
      <c r="AC13" s="714" t="s">
        <v>570</v>
      </c>
      <c r="AD13" s="714" t="s">
        <v>571</v>
      </c>
      <c r="AE13" s="714" t="s">
        <v>572</v>
      </c>
      <c r="AF13" s="710" t="s">
        <v>573</v>
      </c>
      <c r="AG13" s="710" t="s">
        <v>620</v>
      </c>
      <c r="AH13" s="711" t="s">
        <v>621</v>
      </c>
      <c r="AI13" s="715" t="s">
        <v>609</v>
      </c>
    </row>
    <row r="14" spans="1:35" s="21" customFormat="1" ht="19.5" thickTop="1" x14ac:dyDescent="0.15">
      <c r="A14" s="983" t="s">
        <v>34</v>
      </c>
      <c r="B14" s="547">
        <f>SUM(N14:P14)</f>
        <v>172</v>
      </c>
      <c r="C14" s="547">
        <f>SUM(Q14:R14)</f>
        <v>136</v>
      </c>
      <c r="D14" s="547">
        <f>SUM(S14:V14)</f>
        <v>233</v>
      </c>
      <c r="E14" s="547">
        <f>SUM(W14:Y14)</f>
        <v>182</v>
      </c>
      <c r="F14" s="547">
        <f>SUM(Z14:AA14)</f>
        <v>186</v>
      </c>
      <c r="G14" s="547">
        <f>SUM(AB14:AD14)</f>
        <v>219</v>
      </c>
      <c r="H14" s="547">
        <f>AE14</f>
        <v>345</v>
      </c>
      <c r="I14" s="547">
        <f>AF14</f>
        <v>196</v>
      </c>
      <c r="J14" s="547">
        <f>SUM(AG14:AH14)</f>
        <v>160</v>
      </c>
      <c r="K14" s="547">
        <f>SUM(B14:J14)</f>
        <v>1829</v>
      </c>
      <c r="M14" s="736">
        <v>91</v>
      </c>
      <c r="N14" s="660">
        <v>61</v>
      </c>
      <c r="O14" s="660">
        <v>59</v>
      </c>
      <c r="P14" s="660">
        <v>52</v>
      </c>
      <c r="Q14" s="660">
        <v>64</v>
      </c>
      <c r="R14" s="660">
        <v>72</v>
      </c>
      <c r="S14" s="660">
        <v>86</v>
      </c>
      <c r="T14" s="660">
        <v>46</v>
      </c>
      <c r="U14" s="660">
        <v>64</v>
      </c>
      <c r="V14" s="660">
        <v>37</v>
      </c>
      <c r="W14" s="660">
        <v>109</v>
      </c>
      <c r="X14" s="660">
        <v>61</v>
      </c>
      <c r="Y14" s="660">
        <v>12</v>
      </c>
      <c r="Z14" s="660">
        <v>85</v>
      </c>
      <c r="AA14" s="660">
        <v>101</v>
      </c>
      <c r="AB14" s="660">
        <v>71</v>
      </c>
      <c r="AC14" s="660">
        <v>91</v>
      </c>
      <c r="AD14" s="660">
        <v>57</v>
      </c>
      <c r="AE14" s="660">
        <v>345</v>
      </c>
      <c r="AF14" s="660">
        <v>196</v>
      </c>
      <c r="AG14" s="660">
        <v>150</v>
      </c>
      <c r="AH14" s="661">
        <v>10</v>
      </c>
      <c r="AI14" s="662"/>
    </row>
    <row r="15" spans="1:35" s="21" customFormat="1" x14ac:dyDescent="0.15">
      <c r="A15" s="984"/>
      <c r="B15" s="569">
        <f t="shared" ref="B15:I15" si="4">B14/B$18</f>
        <v>0.90052356020942403</v>
      </c>
      <c r="C15" s="569">
        <f t="shared" si="4"/>
        <v>0.91891891891891897</v>
      </c>
      <c r="D15" s="569">
        <f t="shared" si="4"/>
        <v>0.91732283464566933</v>
      </c>
      <c r="E15" s="569">
        <f t="shared" si="4"/>
        <v>0.92385786802030456</v>
      </c>
      <c r="F15" s="569">
        <f t="shared" si="4"/>
        <v>0.88571428571428568</v>
      </c>
      <c r="G15" s="569">
        <f t="shared" si="4"/>
        <v>0.89387755102040811</v>
      </c>
      <c r="H15" s="569">
        <f t="shared" si="4"/>
        <v>0.79676674364896072</v>
      </c>
      <c r="I15" s="569">
        <f t="shared" si="4"/>
        <v>0.89497716894977164</v>
      </c>
      <c r="J15" s="569">
        <f t="shared" ref="J15:K15" si="5">J14/J18</f>
        <v>0.898876404494382</v>
      </c>
      <c r="K15" s="569">
        <f t="shared" si="5"/>
        <v>0.88144578313253008</v>
      </c>
      <c r="M15" s="631">
        <v>90</v>
      </c>
      <c r="N15" s="658"/>
      <c r="O15" s="658">
        <v>9</v>
      </c>
      <c r="P15" s="658">
        <v>10</v>
      </c>
      <c r="Q15" s="658">
        <v>3</v>
      </c>
      <c r="R15" s="658">
        <v>9</v>
      </c>
      <c r="S15" s="658">
        <v>13</v>
      </c>
      <c r="T15" s="658">
        <v>4</v>
      </c>
      <c r="U15" s="658">
        <v>2</v>
      </c>
      <c r="V15" s="658">
        <v>2</v>
      </c>
      <c r="W15" s="658">
        <v>13</v>
      </c>
      <c r="X15" s="658">
        <v>2</v>
      </c>
      <c r="Y15" s="658"/>
      <c r="Z15" s="658">
        <v>6</v>
      </c>
      <c r="AA15" s="658">
        <v>18</v>
      </c>
      <c r="AB15" s="658">
        <v>8</v>
      </c>
      <c r="AC15" s="658">
        <v>12</v>
      </c>
      <c r="AD15" s="658">
        <v>6</v>
      </c>
      <c r="AE15" s="658">
        <v>88</v>
      </c>
      <c r="AF15" s="658">
        <v>23</v>
      </c>
      <c r="AG15" s="658">
        <v>18</v>
      </c>
      <c r="AH15" s="621"/>
      <c r="AI15" s="659"/>
    </row>
    <row r="16" spans="1:35" s="21" customFormat="1" x14ac:dyDescent="0.15">
      <c r="A16" s="983" t="s">
        <v>451</v>
      </c>
      <c r="B16" s="547">
        <f>SUM(N15:P15)</f>
        <v>19</v>
      </c>
      <c r="C16" s="547">
        <f>SUM(Q15:R15)</f>
        <v>12</v>
      </c>
      <c r="D16" s="547">
        <f>SUM(S15:V15)</f>
        <v>21</v>
      </c>
      <c r="E16" s="547">
        <f>SUM(W15:Y15)</f>
        <v>15</v>
      </c>
      <c r="F16" s="547">
        <f>SUM(Z15:AA15)</f>
        <v>24</v>
      </c>
      <c r="G16" s="547">
        <f>SUM(AB15:AD15)</f>
        <v>26</v>
      </c>
      <c r="H16" s="547">
        <f>AE15</f>
        <v>88</v>
      </c>
      <c r="I16" s="547">
        <f>AF15</f>
        <v>23</v>
      </c>
      <c r="J16" s="547">
        <f>SUM(AG15:AH15)</f>
        <v>18</v>
      </c>
      <c r="K16" s="547">
        <f>SUM(B16:J16)</f>
        <v>246</v>
      </c>
    </row>
    <row r="17" spans="1:35" s="21" customFormat="1" x14ac:dyDescent="0.15">
      <c r="A17" s="984"/>
      <c r="B17" s="569">
        <f t="shared" ref="B17:I17" si="6">B16/B$18</f>
        <v>9.947643979057591E-2</v>
      </c>
      <c r="C17" s="569">
        <f t="shared" si="6"/>
        <v>8.1081081081081086E-2</v>
      </c>
      <c r="D17" s="569">
        <f t="shared" si="6"/>
        <v>8.2677165354330714E-2</v>
      </c>
      <c r="E17" s="569">
        <f t="shared" si="6"/>
        <v>7.6142131979695438E-2</v>
      </c>
      <c r="F17" s="569">
        <f t="shared" si="6"/>
        <v>0.11428571428571428</v>
      </c>
      <c r="G17" s="569">
        <f t="shared" si="6"/>
        <v>0.10612244897959183</v>
      </c>
      <c r="H17" s="569">
        <f t="shared" si="6"/>
        <v>0.20323325635103925</v>
      </c>
      <c r="I17" s="569">
        <f t="shared" si="6"/>
        <v>0.1050228310502283</v>
      </c>
      <c r="J17" s="569">
        <f t="shared" ref="J17:K17" si="7">J16/J18</f>
        <v>0.10112359550561797</v>
      </c>
      <c r="K17" s="569">
        <f t="shared" si="7"/>
        <v>0.11855421686746988</v>
      </c>
    </row>
    <row r="18" spans="1:35" s="21" customFormat="1" x14ac:dyDescent="0.15">
      <c r="A18" s="572" t="s">
        <v>11</v>
      </c>
      <c r="B18" s="550">
        <f>SUM(B14,B16)</f>
        <v>191</v>
      </c>
      <c r="C18" s="550">
        <f t="shared" ref="C18:K19" si="8">SUM(C14,C16)</f>
        <v>148</v>
      </c>
      <c r="D18" s="550">
        <f t="shared" si="8"/>
        <v>254</v>
      </c>
      <c r="E18" s="550">
        <f t="shared" si="8"/>
        <v>197</v>
      </c>
      <c r="F18" s="550">
        <f t="shared" si="8"/>
        <v>210</v>
      </c>
      <c r="G18" s="550">
        <f t="shared" si="8"/>
        <v>245</v>
      </c>
      <c r="H18" s="550">
        <f t="shared" si="8"/>
        <v>433</v>
      </c>
      <c r="I18" s="550">
        <f t="shared" si="8"/>
        <v>219</v>
      </c>
      <c r="J18" s="550">
        <f t="shared" si="8"/>
        <v>178</v>
      </c>
      <c r="K18" s="550">
        <f t="shared" si="8"/>
        <v>2075</v>
      </c>
    </row>
    <row r="19" spans="1:35" s="21" customFormat="1" x14ac:dyDescent="0.15">
      <c r="A19" s="575"/>
      <c r="B19" s="552">
        <f>SUM(B15,B17)</f>
        <v>1</v>
      </c>
      <c r="C19" s="552">
        <f t="shared" si="8"/>
        <v>1</v>
      </c>
      <c r="D19" s="552">
        <f t="shared" si="8"/>
        <v>1</v>
      </c>
      <c r="E19" s="552">
        <f t="shared" si="8"/>
        <v>1</v>
      </c>
      <c r="F19" s="552">
        <f t="shared" si="8"/>
        <v>1</v>
      </c>
      <c r="G19" s="552">
        <f t="shared" si="8"/>
        <v>1</v>
      </c>
      <c r="H19" s="552">
        <f t="shared" si="8"/>
        <v>1</v>
      </c>
      <c r="I19" s="552">
        <f t="shared" si="8"/>
        <v>1</v>
      </c>
      <c r="J19" s="552">
        <f t="shared" si="8"/>
        <v>1</v>
      </c>
      <c r="K19" s="552">
        <f>SUM(K15,K17)</f>
        <v>1</v>
      </c>
    </row>
    <row r="20" spans="1:35" x14ac:dyDescent="0.15">
      <c r="A20" s="4"/>
    </row>
    <row r="21" spans="1:35" s="3" customFormat="1" ht="19.5" x14ac:dyDescent="0.15">
      <c r="A21" s="2" t="s">
        <v>471</v>
      </c>
    </row>
    <row r="22" spans="1:35" ht="19.5" thickBot="1" x14ac:dyDescent="0.2">
      <c r="A22" s="4"/>
    </row>
    <row r="23" spans="1:35" ht="39" thickTop="1" thickBot="1" x14ac:dyDescent="0.2">
      <c r="A23" s="545"/>
      <c r="B23" s="545" t="s">
        <v>387</v>
      </c>
      <c r="C23" s="545" t="s">
        <v>388</v>
      </c>
      <c r="D23" s="545" t="s">
        <v>389</v>
      </c>
      <c r="E23" s="545" t="s">
        <v>390</v>
      </c>
      <c r="F23" s="545" t="s">
        <v>391</v>
      </c>
      <c r="G23" s="545" t="s">
        <v>392</v>
      </c>
      <c r="H23" s="545" t="s">
        <v>393</v>
      </c>
      <c r="I23" s="545" t="s">
        <v>394</v>
      </c>
      <c r="J23" s="571" t="s">
        <v>465</v>
      </c>
      <c r="K23" s="545" t="s">
        <v>62</v>
      </c>
      <c r="M23" s="738" t="s">
        <v>619</v>
      </c>
      <c r="N23" s="676" t="s">
        <v>395</v>
      </c>
      <c r="O23" s="676" t="s">
        <v>396</v>
      </c>
      <c r="P23" s="676" t="s">
        <v>397</v>
      </c>
      <c r="Q23" s="676" t="s">
        <v>398</v>
      </c>
      <c r="R23" s="676" t="s">
        <v>399</v>
      </c>
      <c r="S23" s="676" t="s">
        <v>400</v>
      </c>
      <c r="T23" s="676" t="s">
        <v>401</v>
      </c>
      <c r="U23" s="676" t="s">
        <v>402</v>
      </c>
      <c r="V23" s="676" t="s">
        <v>403</v>
      </c>
      <c r="W23" s="676" t="s">
        <v>404</v>
      </c>
      <c r="X23" s="676" t="s">
        <v>565</v>
      </c>
      <c r="Y23" s="676" t="s">
        <v>566</v>
      </c>
      <c r="Z23" s="676" t="s">
        <v>567</v>
      </c>
      <c r="AA23" s="676" t="s">
        <v>568</v>
      </c>
      <c r="AB23" s="676" t="s">
        <v>569</v>
      </c>
      <c r="AC23" s="676" t="s">
        <v>570</v>
      </c>
      <c r="AD23" s="676" t="s">
        <v>571</v>
      </c>
      <c r="AE23" s="676" t="s">
        <v>572</v>
      </c>
      <c r="AF23" s="676" t="s">
        <v>573</v>
      </c>
      <c r="AG23" s="676" t="s">
        <v>620</v>
      </c>
      <c r="AH23" s="676" t="s">
        <v>621</v>
      </c>
      <c r="AI23" s="676" t="s">
        <v>609</v>
      </c>
    </row>
    <row r="24" spans="1:35" ht="18.75" customHeight="1" thickTop="1" x14ac:dyDescent="0.15">
      <c r="A24" s="997" t="s">
        <v>355</v>
      </c>
      <c r="B24" s="546">
        <f>SUM(N24:P24)</f>
        <v>62</v>
      </c>
      <c r="C24" s="546">
        <f>SUM(Q24:R24)</f>
        <v>38</v>
      </c>
      <c r="D24" s="546">
        <f>SUM(S24:V24)</f>
        <v>81</v>
      </c>
      <c r="E24" s="546">
        <f>SUM(W24:Y24)</f>
        <v>88</v>
      </c>
      <c r="F24" s="546">
        <f>SUM(Z24:AA24)</f>
        <v>84</v>
      </c>
      <c r="G24" s="546">
        <f>SUM(AB24:AD24)</f>
        <v>95</v>
      </c>
      <c r="H24" s="546">
        <f>AE24</f>
        <v>110</v>
      </c>
      <c r="I24" s="546">
        <f>AF24</f>
        <v>64</v>
      </c>
      <c r="J24" s="546">
        <f>SUM(AG24:AH24)</f>
        <v>48</v>
      </c>
      <c r="K24" s="547">
        <f>SUM(B24:J24)</f>
        <v>670</v>
      </c>
      <c r="M24" s="677" t="s">
        <v>309</v>
      </c>
      <c r="N24" s="678">
        <v>30</v>
      </c>
      <c r="O24" s="678">
        <v>18</v>
      </c>
      <c r="P24" s="678">
        <v>14</v>
      </c>
      <c r="Q24" s="678">
        <v>21</v>
      </c>
      <c r="R24" s="678">
        <v>17</v>
      </c>
      <c r="S24" s="678">
        <v>32</v>
      </c>
      <c r="T24" s="678">
        <v>20</v>
      </c>
      <c r="U24" s="678">
        <v>18</v>
      </c>
      <c r="V24" s="678">
        <v>11</v>
      </c>
      <c r="W24" s="678">
        <v>50</v>
      </c>
      <c r="X24" s="678">
        <v>35</v>
      </c>
      <c r="Y24" s="678">
        <v>3</v>
      </c>
      <c r="Z24" s="678">
        <v>41</v>
      </c>
      <c r="AA24" s="678">
        <v>43</v>
      </c>
      <c r="AB24" s="678">
        <v>24</v>
      </c>
      <c r="AC24" s="678">
        <v>37</v>
      </c>
      <c r="AD24" s="678">
        <v>34</v>
      </c>
      <c r="AE24" s="678">
        <v>110</v>
      </c>
      <c r="AF24" s="678">
        <v>64</v>
      </c>
      <c r="AG24" s="678">
        <v>47</v>
      </c>
      <c r="AH24" s="678">
        <v>1</v>
      </c>
      <c r="AI24" s="180"/>
    </row>
    <row r="25" spans="1:35" ht="22.5" customHeight="1" x14ac:dyDescent="0.15">
      <c r="A25" s="998"/>
      <c r="B25" s="569">
        <f t="shared" ref="B25:I25" si="9">B24/B$14</f>
        <v>0.36046511627906974</v>
      </c>
      <c r="C25" s="569">
        <f t="shared" si="9"/>
        <v>0.27941176470588236</v>
      </c>
      <c r="D25" s="569">
        <f t="shared" si="9"/>
        <v>0.34763948497854075</v>
      </c>
      <c r="E25" s="569">
        <f t="shared" si="9"/>
        <v>0.48351648351648352</v>
      </c>
      <c r="F25" s="569">
        <f t="shared" si="9"/>
        <v>0.45161290322580644</v>
      </c>
      <c r="G25" s="569">
        <f t="shared" si="9"/>
        <v>0.43378995433789952</v>
      </c>
      <c r="H25" s="569">
        <f t="shared" si="9"/>
        <v>0.3188405797101449</v>
      </c>
      <c r="I25" s="569">
        <f t="shared" si="9"/>
        <v>0.32653061224489793</v>
      </c>
      <c r="J25" s="569">
        <f t="shared" ref="J25:K25" si="10">J24/J$14</f>
        <v>0.3</v>
      </c>
      <c r="K25" s="569">
        <f t="shared" si="10"/>
        <v>0.36632039365773644</v>
      </c>
      <c r="M25" s="679" t="s">
        <v>310</v>
      </c>
      <c r="N25" s="678">
        <v>19</v>
      </c>
      <c r="O25" s="678">
        <v>15</v>
      </c>
      <c r="P25" s="678">
        <v>11</v>
      </c>
      <c r="Q25" s="678">
        <v>17</v>
      </c>
      <c r="R25" s="678">
        <v>36</v>
      </c>
      <c r="S25" s="678">
        <v>25</v>
      </c>
      <c r="T25" s="678">
        <v>14</v>
      </c>
      <c r="U25" s="678">
        <v>21</v>
      </c>
      <c r="V25" s="678">
        <v>11</v>
      </c>
      <c r="W25" s="678">
        <v>34</v>
      </c>
      <c r="X25" s="678">
        <v>20</v>
      </c>
      <c r="Y25" s="678">
        <v>1</v>
      </c>
      <c r="Z25" s="678">
        <v>33</v>
      </c>
      <c r="AA25" s="678">
        <v>30</v>
      </c>
      <c r="AB25" s="678">
        <v>10</v>
      </c>
      <c r="AC25" s="678">
        <v>36</v>
      </c>
      <c r="AD25" s="678">
        <v>23</v>
      </c>
      <c r="AE25" s="678">
        <v>115</v>
      </c>
      <c r="AF25" s="678">
        <v>51</v>
      </c>
      <c r="AG25" s="678">
        <v>45</v>
      </c>
      <c r="AH25" s="678">
        <v>3</v>
      </c>
      <c r="AI25" s="180"/>
    </row>
    <row r="26" spans="1:35" ht="18.75" customHeight="1" x14ac:dyDescent="0.15">
      <c r="A26" s="985" t="s">
        <v>224</v>
      </c>
      <c r="B26" s="546">
        <f>SUM(N25:P25)</f>
        <v>45</v>
      </c>
      <c r="C26" s="546">
        <f>SUM(Q25:R25)</f>
        <v>53</v>
      </c>
      <c r="D26" s="546">
        <f>SUM(S25:V25)</f>
        <v>71</v>
      </c>
      <c r="E26" s="546">
        <f>SUM(W25:Y25)</f>
        <v>55</v>
      </c>
      <c r="F26" s="546">
        <f>SUM(Z25:AA25)</f>
        <v>63</v>
      </c>
      <c r="G26" s="546">
        <f>SUM(AB25:AD25)</f>
        <v>69</v>
      </c>
      <c r="H26" s="546">
        <f>AE25</f>
        <v>115</v>
      </c>
      <c r="I26" s="546">
        <f>AF25</f>
        <v>51</v>
      </c>
      <c r="J26" s="546">
        <f>SUM(AG25:AH25)</f>
        <v>48</v>
      </c>
      <c r="K26" s="547">
        <f>SUM(B26:J26)</f>
        <v>570</v>
      </c>
      <c r="M26" s="679" t="s">
        <v>166</v>
      </c>
      <c r="N26" s="678">
        <v>2</v>
      </c>
      <c r="O26" s="678">
        <v>4</v>
      </c>
      <c r="P26" s="678">
        <v>1</v>
      </c>
      <c r="Q26" s="678">
        <v>2</v>
      </c>
      <c r="R26" s="678">
        <v>1</v>
      </c>
      <c r="S26" s="678">
        <v>6</v>
      </c>
      <c r="T26" s="678">
        <v>2</v>
      </c>
      <c r="U26" s="678">
        <v>1</v>
      </c>
      <c r="V26" s="678">
        <v>2</v>
      </c>
      <c r="W26" s="678">
        <v>6</v>
      </c>
      <c r="X26" s="678">
        <v>1</v>
      </c>
      <c r="Y26" s="678">
        <v>1</v>
      </c>
      <c r="Z26" s="678">
        <v>8</v>
      </c>
      <c r="AA26" s="678">
        <v>5</v>
      </c>
      <c r="AB26" s="678">
        <v>4</v>
      </c>
      <c r="AC26" s="678">
        <v>1</v>
      </c>
      <c r="AD26" s="678">
        <v>2</v>
      </c>
      <c r="AE26" s="678">
        <v>18</v>
      </c>
      <c r="AF26" s="678">
        <v>14</v>
      </c>
      <c r="AG26" s="678">
        <v>9</v>
      </c>
      <c r="AH26" s="678">
        <v>1</v>
      </c>
      <c r="AI26" s="180"/>
    </row>
    <row r="27" spans="1:35" ht="18.75" customHeight="1" x14ac:dyDescent="0.15">
      <c r="A27" s="986"/>
      <c r="B27" s="569">
        <f t="shared" ref="B27:I27" si="11">B26/B$14</f>
        <v>0.26162790697674421</v>
      </c>
      <c r="C27" s="569">
        <f t="shared" si="11"/>
        <v>0.38970588235294118</v>
      </c>
      <c r="D27" s="569">
        <f t="shared" si="11"/>
        <v>0.30472103004291845</v>
      </c>
      <c r="E27" s="569">
        <f t="shared" si="11"/>
        <v>0.30219780219780218</v>
      </c>
      <c r="F27" s="569">
        <f t="shared" si="11"/>
        <v>0.33870967741935482</v>
      </c>
      <c r="G27" s="569">
        <f t="shared" si="11"/>
        <v>0.31506849315068491</v>
      </c>
      <c r="H27" s="569">
        <f t="shared" si="11"/>
        <v>0.33333333333333331</v>
      </c>
      <c r="I27" s="569">
        <f t="shared" si="11"/>
        <v>0.26020408163265307</v>
      </c>
      <c r="J27" s="569">
        <f t="shared" ref="J27:K27" si="12">J26/J$14</f>
        <v>0.3</v>
      </c>
      <c r="K27" s="569">
        <f t="shared" si="12"/>
        <v>0.31164570803717878</v>
      </c>
      <c r="M27" s="679" t="s">
        <v>167</v>
      </c>
      <c r="N27" s="678">
        <v>23</v>
      </c>
      <c r="O27" s="678">
        <v>19</v>
      </c>
      <c r="P27" s="678">
        <v>22</v>
      </c>
      <c r="Q27" s="678">
        <v>28</v>
      </c>
      <c r="R27" s="678">
        <v>35</v>
      </c>
      <c r="S27" s="678">
        <v>30</v>
      </c>
      <c r="T27" s="678">
        <v>14</v>
      </c>
      <c r="U27" s="678">
        <v>22</v>
      </c>
      <c r="V27" s="678">
        <v>11</v>
      </c>
      <c r="W27" s="678">
        <v>46</v>
      </c>
      <c r="X27" s="678">
        <v>30</v>
      </c>
      <c r="Y27" s="678">
        <v>2</v>
      </c>
      <c r="Z27" s="678">
        <v>23</v>
      </c>
      <c r="AA27" s="678">
        <v>38</v>
      </c>
      <c r="AB27" s="678">
        <v>16</v>
      </c>
      <c r="AC27" s="678">
        <v>41</v>
      </c>
      <c r="AD27" s="678">
        <v>20</v>
      </c>
      <c r="AE27" s="678">
        <v>112</v>
      </c>
      <c r="AF27" s="678">
        <v>76</v>
      </c>
      <c r="AG27" s="678">
        <v>63</v>
      </c>
      <c r="AH27" s="678">
        <v>6</v>
      </c>
      <c r="AI27" s="180"/>
    </row>
    <row r="28" spans="1:35" ht="18.75" customHeight="1" x14ac:dyDescent="0.15">
      <c r="A28" s="985" t="s">
        <v>38</v>
      </c>
      <c r="B28" s="546">
        <f>SUM(N26:P26)</f>
        <v>7</v>
      </c>
      <c r="C28" s="546">
        <f>SUM(Q26:R26)</f>
        <v>3</v>
      </c>
      <c r="D28" s="546">
        <f>SUM(S26:V26)</f>
        <v>11</v>
      </c>
      <c r="E28" s="546">
        <f>SUM(W26:Y26)</f>
        <v>8</v>
      </c>
      <c r="F28" s="546">
        <f>SUM(Z26:AA26)</f>
        <v>13</v>
      </c>
      <c r="G28" s="546">
        <f>SUM(AB26:AD26)</f>
        <v>7</v>
      </c>
      <c r="H28" s="546">
        <f>AE26</f>
        <v>18</v>
      </c>
      <c r="I28" s="546">
        <f>AF26</f>
        <v>14</v>
      </c>
      <c r="J28" s="546">
        <f>SUM(AG26:AH26)</f>
        <v>10</v>
      </c>
      <c r="K28" s="547">
        <f>SUM(B28:J28)</f>
        <v>91</v>
      </c>
      <c r="M28" s="679" t="s">
        <v>168</v>
      </c>
      <c r="N28" s="678">
        <v>29</v>
      </c>
      <c r="O28" s="678">
        <v>28</v>
      </c>
      <c r="P28" s="678">
        <v>20</v>
      </c>
      <c r="Q28" s="678">
        <v>28</v>
      </c>
      <c r="R28" s="678">
        <v>50</v>
      </c>
      <c r="S28" s="678">
        <v>38</v>
      </c>
      <c r="T28" s="678">
        <v>20</v>
      </c>
      <c r="U28" s="678">
        <v>34</v>
      </c>
      <c r="V28" s="678">
        <v>18</v>
      </c>
      <c r="W28" s="678">
        <v>52</v>
      </c>
      <c r="X28" s="678">
        <v>35</v>
      </c>
      <c r="Y28" s="678">
        <v>4</v>
      </c>
      <c r="Z28" s="678">
        <v>55</v>
      </c>
      <c r="AA28" s="678">
        <v>47</v>
      </c>
      <c r="AB28" s="678">
        <v>23</v>
      </c>
      <c r="AC28" s="678">
        <v>36</v>
      </c>
      <c r="AD28" s="678">
        <v>23</v>
      </c>
      <c r="AE28" s="678">
        <v>127</v>
      </c>
      <c r="AF28" s="678">
        <v>69</v>
      </c>
      <c r="AG28" s="678">
        <v>65</v>
      </c>
      <c r="AH28" s="678">
        <v>5</v>
      </c>
      <c r="AI28" s="180"/>
    </row>
    <row r="29" spans="1:35" ht="18.75" customHeight="1" x14ac:dyDescent="0.15">
      <c r="A29" s="986"/>
      <c r="B29" s="569">
        <f t="shared" ref="B29:I29" si="13">B28/B$14</f>
        <v>4.0697674418604654E-2</v>
      </c>
      <c r="C29" s="569">
        <f t="shared" si="13"/>
        <v>2.2058823529411766E-2</v>
      </c>
      <c r="D29" s="569">
        <f t="shared" si="13"/>
        <v>4.7210300429184553E-2</v>
      </c>
      <c r="E29" s="569">
        <f t="shared" si="13"/>
        <v>4.3956043956043959E-2</v>
      </c>
      <c r="F29" s="569">
        <f t="shared" si="13"/>
        <v>6.9892473118279563E-2</v>
      </c>
      <c r="G29" s="569">
        <f t="shared" si="13"/>
        <v>3.1963470319634701E-2</v>
      </c>
      <c r="H29" s="569">
        <f t="shared" si="13"/>
        <v>5.2173913043478258E-2</v>
      </c>
      <c r="I29" s="569">
        <f t="shared" si="13"/>
        <v>7.1428571428571425E-2</v>
      </c>
      <c r="J29" s="569">
        <f t="shared" ref="J29:K29" si="14">J28/J$14</f>
        <v>6.25E-2</v>
      </c>
      <c r="K29" s="569">
        <f t="shared" si="14"/>
        <v>4.9753963914707489E-2</v>
      </c>
      <c r="M29" s="679" t="s">
        <v>169</v>
      </c>
      <c r="N29" s="678">
        <v>17</v>
      </c>
      <c r="O29" s="678">
        <v>11</v>
      </c>
      <c r="P29" s="678">
        <v>11</v>
      </c>
      <c r="Q29" s="678">
        <v>15</v>
      </c>
      <c r="R29" s="678">
        <v>19</v>
      </c>
      <c r="S29" s="678">
        <v>21</v>
      </c>
      <c r="T29" s="678">
        <v>8</v>
      </c>
      <c r="U29" s="678">
        <v>13</v>
      </c>
      <c r="V29" s="678">
        <v>5</v>
      </c>
      <c r="W29" s="678">
        <v>33</v>
      </c>
      <c r="X29" s="678">
        <v>26</v>
      </c>
      <c r="Y29" s="678">
        <v>3</v>
      </c>
      <c r="Z29" s="678">
        <v>25</v>
      </c>
      <c r="AA29" s="678">
        <v>39</v>
      </c>
      <c r="AB29" s="678">
        <v>15</v>
      </c>
      <c r="AC29" s="678">
        <v>39</v>
      </c>
      <c r="AD29" s="678">
        <v>20</v>
      </c>
      <c r="AE29" s="678">
        <v>103</v>
      </c>
      <c r="AF29" s="678">
        <v>57</v>
      </c>
      <c r="AG29" s="678">
        <v>27</v>
      </c>
      <c r="AH29" s="678">
        <v>2</v>
      </c>
      <c r="AI29" s="180"/>
    </row>
    <row r="30" spans="1:35" ht="18.75" customHeight="1" x14ac:dyDescent="0.15">
      <c r="A30" s="985" t="s">
        <v>39</v>
      </c>
      <c r="B30" s="546">
        <f>SUM(N27:P27)</f>
        <v>64</v>
      </c>
      <c r="C30" s="546">
        <f>SUM(Q27:R27)</f>
        <v>63</v>
      </c>
      <c r="D30" s="546">
        <f>SUM(S27:V27)</f>
        <v>77</v>
      </c>
      <c r="E30" s="546">
        <f>SUM(W27:Y27)</f>
        <v>78</v>
      </c>
      <c r="F30" s="546">
        <f>SUM(Z27:AA27)</f>
        <v>61</v>
      </c>
      <c r="G30" s="546">
        <f>SUM(AB27:AD27)</f>
        <v>77</v>
      </c>
      <c r="H30" s="546">
        <f>AE27</f>
        <v>112</v>
      </c>
      <c r="I30" s="546">
        <f>AF27</f>
        <v>76</v>
      </c>
      <c r="J30" s="546">
        <f>SUM(AG27:AH27)</f>
        <v>69</v>
      </c>
      <c r="K30" s="547">
        <f>SUM(B30:J30)</f>
        <v>677</v>
      </c>
      <c r="M30" s="679" t="s">
        <v>170</v>
      </c>
      <c r="N30" s="678">
        <v>4</v>
      </c>
      <c r="O30" s="678">
        <v>7</v>
      </c>
      <c r="P30" s="678">
        <v>4</v>
      </c>
      <c r="Q30" s="678">
        <v>1</v>
      </c>
      <c r="R30" s="678">
        <v>8</v>
      </c>
      <c r="S30" s="678">
        <v>9</v>
      </c>
      <c r="T30" s="678">
        <v>3</v>
      </c>
      <c r="U30" s="678">
        <v>4</v>
      </c>
      <c r="V30" s="678">
        <v>2</v>
      </c>
      <c r="W30" s="678">
        <v>10</v>
      </c>
      <c r="X30" s="678">
        <v>2</v>
      </c>
      <c r="Y30" s="678">
        <v>1</v>
      </c>
      <c r="Z30" s="678">
        <v>7</v>
      </c>
      <c r="AA30" s="678">
        <v>15</v>
      </c>
      <c r="AB30" s="678">
        <v>11</v>
      </c>
      <c r="AC30" s="678">
        <v>10</v>
      </c>
      <c r="AD30" s="678">
        <v>2</v>
      </c>
      <c r="AE30" s="678">
        <v>37</v>
      </c>
      <c r="AF30" s="678">
        <v>17</v>
      </c>
      <c r="AG30" s="678">
        <v>9</v>
      </c>
      <c r="AH30" s="678">
        <v>1</v>
      </c>
      <c r="AI30" s="180"/>
    </row>
    <row r="31" spans="1:35" ht="18.75" customHeight="1" x14ac:dyDescent="0.15">
      <c r="A31" s="986"/>
      <c r="B31" s="569">
        <f t="shared" ref="B31:I31" si="15">B30/B$14</f>
        <v>0.37209302325581395</v>
      </c>
      <c r="C31" s="569">
        <f t="shared" si="15"/>
        <v>0.46323529411764708</v>
      </c>
      <c r="D31" s="569">
        <f t="shared" si="15"/>
        <v>0.33047210300429186</v>
      </c>
      <c r="E31" s="569">
        <f t="shared" si="15"/>
        <v>0.42857142857142855</v>
      </c>
      <c r="F31" s="569">
        <f t="shared" si="15"/>
        <v>0.32795698924731181</v>
      </c>
      <c r="G31" s="569">
        <f t="shared" si="15"/>
        <v>0.35159817351598172</v>
      </c>
      <c r="H31" s="569">
        <f t="shared" si="15"/>
        <v>0.32463768115942027</v>
      </c>
      <c r="I31" s="569">
        <f t="shared" si="15"/>
        <v>0.38775510204081631</v>
      </c>
      <c r="J31" s="569">
        <f t="shared" ref="J31:K31" si="16">J30/J$14</f>
        <v>0.43125000000000002</v>
      </c>
      <c r="K31" s="569">
        <f t="shared" si="16"/>
        <v>0.37014762165117548</v>
      </c>
      <c r="M31" s="679" t="s">
        <v>171</v>
      </c>
      <c r="N31" s="678">
        <v>13</v>
      </c>
      <c r="O31" s="678">
        <v>20</v>
      </c>
      <c r="P31" s="678">
        <v>13</v>
      </c>
      <c r="Q31" s="678">
        <v>19</v>
      </c>
      <c r="R31" s="678">
        <v>32</v>
      </c>
      <c r="S31" s="678">
        <v>33</v>
      </c>
      <c r="T31" s="678">
        <v>13</v>
      </c>
      <c r="U31" s="678">
        <v>27</v>
      </c>
      <c r="V31" s="678">
        <v>18</v>
      </c>
      <c r="W31" s="678">
        <v>35</v>
      </c>
      <c r="X31" s="678">
        <v>35</v>
      </c>
      <c r="Y31" s="678">
        <v>5</v>
      </c>
      <c r="Z31" s="678">
        <v>31</v>
      </c>
      <c r="AA31" s="678">
        <v>48</v>
      </c>
      <c r="AB31" s="678">
        <v>16</v>
      </c>
      <c r="AC31" s="678">
        <v>42</v>
      </c>
      <c r="AD31" s="678">
        <v>17</v>
      </c>
      <c r="AE31" s="678">
        <v>112</v>
      </c>
      <c r="AF31" s="678">
        <v>60</v>
      </c>
      <c r="AG31" s="678">
        <v>52</v>
      </c>
      <c r="AH31" s="678">
        <v>3</v>
      </c>
      <c r="AI31" s="180"/>
    </row>
    <row r="32" spans="1:35" ht="18.75" customHeight="1" x14ac:dyDescent="0.15">
      <c r="A32" s="985" t="s">
        <v>40</v>
      </c>
      <c r="B32" s="546">
        <f>SUM(N28:P28)</f>
        <v>77</v>
      </c>
      <c r="C32" s="546">
        <f>SUM(Q28:R28)</f>
        <v>78</v>
      </c>
      <c r="D32" s="546">
        <f>SUM(S28:V28)</f>
        <v>110</v>
      </c>
      <c r="E32" s="546">
        <f>SUM(W28:Y28)</f>
        <v>91</v>
      </c>
      <c r="F32" s="546">
        <f>SUM(Z28:AA28)</f>
        <v>102</v>
      </c>
      <c r="G32" s="546">
        <f>SUM(AB28:AD28)</f>
        <v>82</v>
      </c>
      <c r="H32" s="546">
        <f>AE28</f>
        <v>127</v>
      </c>
      <c r="I32" s="546">
        <f>AF28</f>
        <v>69</v>
      </c>
      <c r="J32" s="546">
        <f>SUM(AG28:AH28)</f>
        <v>70</v>
      </c>
      <c r="K32" s="547">
        <f>SUM(B32:J32)</f>
        <v>806</v>
      </c>
      <c r="M32" s="679" t="s">
        <v>172</v>
      </c>
      <c r="N32" s="678">
        <v>8</v>
      </c>
      <c r="O32" s="678">
        <v>13</v>
      </c>
      <c r="P32" s="678">
        <v>12</v>
      </c>
      <c r="Q32" s="678">
        <v>11</v>
      </c>
      <c r="R32" s="678">
        <v>11</v>
      </c>
      <c r="S32" s="678">
        <v>18</v>
      </c>
      <c r="T32" s="678">
        <v>8</v>
      </c>
      <c r="U32" s="678">
        <v>14</v>
      </c>
      <c r="V32" s="678">
        <v>8</v>
      </c>
      <c r="W32" s="678">
        <v>16</v>
      </c>
      <c r="X32" s="678">
        <v>11</v>
      </c>
      <c r="Y32" s="678">
        <v>0</v>
      </c>
      <c r="Z32" s="678">
        <v>13</v>
      </c>
      <c r="AA32" s="678">
        <v>11</v>
      </c>
      <c r="AB32" s="678">
        <v>9</v>
      </c>
      <c r="AC32" s="678">
        <v>12</v>
      </c>
      <c r="AD32" s="678">
        <v>10</v>
      </c>
      <c r="AE32" s="678">
        <v>53</v>
      </c>
      <c r="AF32" s="678">
        <v>27</v>
      </c>
      <c r="AG32" s="678">
        <v>27</v>
      </c>
      <c r="AH32" s="678">
        <v>3</v>
      </c>
      <c r="AI32" s="180"/>
    </row>
    <row r="33" spans="1:35" ht="18.75" customHeight="1" x14ac:dyDescent="0.15">
      <c r="A33" s="986"/>
      <c r="B33" s="569">
        <f t="shared" ref="B33:I33" si="17">B32/B$14</f>
        <v>0.44767441860465118</v>
      </c>
      <c r="C33" s="569">
        <f t="shared" si="17"/>
        <v>0.57352941176470584</v>
      </c>
      <c r="D33" s="569">
        <f t="shared" si="17"/>
        <v>0.47210300429184548</v>
      </c>
      <c r="E33" s="569">
        <f t="shared" si="17"/>
        <v>0.5</v>
      </c>
      <c r="F33" s="569">
        <f t="shared" si="17"/>
        <v>0.54838709677419351</v>
      </c>
      <c r="G33" s="569">
        <f t="shared" si="17"/>
        <v>0.37442922374429222</v>
      </c>
      <c r="H33" s="569">
        <f t="shared" si="17"/>
        <v>0.36811594202898551</v>
      </c>
      <c r="I33" s="569">
        <f t="shared" si="17"/>
        <v>0.35204081632653061</v>
      </c>
      <c r="J33" s="569">
        <f t="shared" ref="J33:K33" si="18">J32/J$14</f>
        <v>0.4375</v>
      </c>
      <c r="K33" s="569">
        <f t="shared" si="18"/>
        <v>0.44067796610169491</v>
      </c>
      <c r="M33" s="679" t="s">
        <v>173</v>
      </c>
      <c r="N33" s="678">
        <v>10</v>
      </c>
      <c r="O33" s="678">
        <v>14</v>
      </c>
      <c r="P33" s="678">
        <v>11</v>
      </c>
      <c r="Q33" s="678">
        <v>9</v>
      </c>
      <c r="R33" s="678">
        <v>10</v>
      </c>
      <c r="S33" s="678">
        <v>13</v>
      </c>
      <c r="T33" s="678">
        <v>11</v>
      </c>
      <c r="U33" s="678">
        <v>9</v>
      </c>
      <c r="V33" s="678">
        <v>4</v>
      </c>
      <c r="W33" s="678">
        <v>23</v>
      </c>
      <c r="X33" s="678">
        <v>16</v>
      </c>
      <c r="Y33" s="678">
        <v>2</v>
      </c>
      <c r="Z33" s="678">
        <v>16</v>
      </c>
      <c r="AA33" s="678">
        <v>18</v>
      </c>
      <c r="AB33" s="678">
        <v>23</v>
      </c>
      <c r="AC33" s="678">
        <v>18</v>
      </c>
      <c r="AD33" s="678">
        <v>9</v>
      </c>
      <c r="AE33" s="678">
        <v>59</v>
      </c>
      <c r="AF33" s="678">
        <v>36</v>
      </c>
      <c r="AG33" s="678">
        <v>31</v>
      </c>
      <c r="AH33" s="678">
        <v>0</v>
      </c>
      <c r="AI33" s="180"/>
    </row>
    <row r="34" spans="1:35" ht="18.75" customHeight="1" x14ac:dyDescent="0.15">
      <c r="A34" s="985" t="s">
        <v>41</v>
      </c>
      <c r="B34" s="546">
        <f>SUM(N29:P29)</f>
        <v>39</v>
      </c>
      <c r="C34" s="546">
        <f>SUM(Q29:R29)</f>
        <v>34</v>
      </c>
      <c r="D34" s="546">
        <f>SUM(S29:V29)</f>
        <v>47</v>
      </c>
      <c r="E34" s="546">
        <f>SUM(W29:Y29)</f>
        <v>62</v>
      </c>
      <c r="F34" s="546">
        <f>SUM(Z29:AA29)</f>
        <v>64</v>
      </c>
      <c r="G34" s="546">
        <f>SUM(AB29:AD29)</f>
        <v>74</v>
      </c>
      <c r="H34" s="546">
        <f>AE29</f>
        <v>103</v>
      </c>
      <c r="I34" s="546">
        <f>AF29</f>
        <v>57</v>
      </c>
      <c r="J34" s="546">
        <f>SUM(AG29:AH29)</f>
        <v>29</v>
      </c>
      <c r="K34" s="547">
        <f>SUM(B34:J34)</f>
        <v>509</v>
      </c>
      <c r="M34" s="679" t="s">
        <v>174</v>
      </c>
      <c r="N34" s="678">
        <v>8</v>
      </c>
      <c r="O34" s="678">
        <v>27</v>
      </c>
      <c r="P34" s="678">
        <v>19</v>
      </c>
      <c r="Q34" s="678">
        <v>28</v>
      </c>
      <c r="R34" s="678">
        <v>28</v>
      </c>
      <c r="S34" s="678">
        <v>46</v>
      </c>
      <c r="T34" s="678">
        <v>24</v>
      </c>
      <c r="U34" s="678">
        <v>25</v>
      </c>
      <c r="V34" s="678">
        <v>19</v>
      </c>
      <c r="W34" s="678">
        <v>29</v>
      </c>
      <c r="X34" s="678">
        <v>24</v>
      </c>
      <c r="Y34" s="678">
        <v>7</v>
      </c>
      <c r="Z34" s="678">
        <v>19</v>
      </c>
      <c r="AA34" s="678">
        <v>13</v>
      </c>
      <c r="AB34" s="678">
        <v>34</v>
      </c>
      <c r="AC34" s="678">
        <v>20</v>
      </c>
      <c r="AD34" s="678">
        <v>17</v>
      </c>
      <c r="AE34" s="678">
        <v>113</v>
      </c>
      <c r="AF34" s="678">
        <v>48</v>
      </c>
      <c r="AG34" s="678">
        <v>53</v>
      </c>
      <c r="AH34" s="678">
        <v>4</v>
      </c>
      <c r="AI34" s="180"/>
    </row>
    <row r="35" spans="1:35" ht="18.75" customHeight="1" x14ac:dyDescent="0.15">
      <c r="A35" s="986"/>
      <c r="B35" s="569">
        <f t="shared" ref="B35:I35" si="19">B34/B$14</f>
        <v>0.22674418604651161</v>
      </c>
      <c r="C35" s="569">
        <f t="shared" si="19"/>
        <v>0.25</v>
      </c>
      <c r="D35" s="569">
        <f t="shared" si="19"/>
        <v>0.20171673819742489</v>
      </c>
      <c r="E35" s="569">
        <f t="shared" si="19"/>
        <v>0.34065934065934067</v>
      </c>
      <c r="F35" s="569">
        <f t="shared" si="19"/>
        <v>0.34408602150537637</v>
      </c>
      <c r="G35" s="569">
        <f t="shared" si="19"/>
        <v>0.33789954337899542</v>
      </c>
      <c r="H35" s="569">
        <f t="shared" si="19"/>
        <v>0.29855072463768118</v>
      </c>
      <c r="I35" s="569">
        <f t="shared" si="19"/>
        <v>0.29081632653061223</v>
      </c>
      <c r="J35" s="569">
        <f t="shared" ref="J35:K35" si="20">J34/J$14</f>
        <v>0.18124999999999999</v>
      </c>
      <c r="K35" s="569">
        <f t="shared" si="20"/>
        <v>0.27829414980863859</v>
      </c>
      <c r="M35" s="679" t="s">
        <v>175</v>
      </c>
      <c r="N35" s="678">
        <v>1</v>
      </c>
      <c r="O35" s="678">
        <v>5</v>
      </c>
      <c r="P35" s="678">
        <v>3</v>
      </c>
      <c r="Q35" s="678">
        <v>6</v>
      </c>
      <c r="R35" s="678">
        <v>6</v>
      </c>
      <c r="S35" s="678">
        <v>11</v>
      </c>
      <c r="T35" s="678">
        <v>4</v>
      </c>
      <c r="U35" s="678">
        <v>4</v>
      </c>
      <c r="V35" s="678">
        <v>0</v>
      </c>
      <c r="W35" s="678">
        <v>6</v>
      </c>
      <c r="X35" s="678">
        <v>3</v>
      </c>
      <c r="Y35" s="678">
        <v>0</v>
      </c>
      <c r="Z35" s="678">
        <v>2</v>
      </c>
      <c r="AA35" s="678">
        <v>2</v>
      </c>
      <c r="AB35" s="678">
        <v>14</v>
      </c>
      <c r="AC35" s="678">
        <v>8</v>
      </c>
      <c r="AD35" s="678">
        <v>8</v>
      </c>
      <c r="AE35" s="678">
        <v>15</v>
      </c>
      <c r="AF35" s="678">
        <v>8</v>
      </c>
      <c r="AG35" s="678">
        <v>15</v>
      </c>
      <c r="AH35" s="678">
        <v>0</v>
      </c>
      <c r="AI35" s="180"/>
    </row>
    <row r="36" spans="1:35" ht="18.75" customHeight="1" x14ac:dyDescent="0.15">
      <c r="A36" s="985" t="s">
        <v>42</v>
      </c>
      <c r="B36" s="546">
        <f>SUM(N30:P30)</f>
        <v>15</v>
      </c>
      <c r="C36" s="546">
        <f>SUM(Q30:R30)</f>
        <v>9</v>
      </c>
      <c r="D36" s="546">
        <f>SUM(S30:V30)</f>
        <v>18</v>
      </c>
      <c r="E36" s="546">
        <f>SUM(W30:Y30)</f>
        <v>13</v>
      </c>
      <c r="F36" s="546">
        <f>SUM(Z30:AA30)</f>
        <v>22</v>
      </c>
      <c r="G36" s="546">
        <f>SUM(AB30:AD30)</f>
        <v>23</v>
      </c>
      <c r="H36" s="546">
        <f>AE30</f>
        <v>37</v>
      </c>
      <c r="I36" s="546">
        <f>AF30</f>
        <v>17</v>
      </c>
      <c r="J36" s="546">
        <f>SUM(AG30:AH30)</f>
        <v>10</v>
      </c>
      <c r="K36" s="547">
        <f>SUM(B36:J36)</f>
        <v>164</v>
      </c>
      <c r="M36" s="679" t="s">
        <v>176</v>
      </c>
      <c r="N36" s="678">
        <v>4</v>
      </c>
      <c r="O36" s="678">
        <v>4</v>
      </c>
      <c r="P36" s="678">
        <v>5</v>
      </c>
      <c r="Q36" s="678">
        <v>0</v>
      </c>
      <c r="R36" s="678">
        <v>3</v>
      </c>
      <c r="S36" s="678">
        <v>2</v>
      </c>
      <c r="T36" s="678">
        <v>0</v>
      </c>
      <c r="U36" s="678">
        <v>1</v>
      </c>
      <c r="V36" s="678">
        <v>2</v>
      </c>
      <c r="W36" s="678">
        <v>9</v>
      </c>
      <c r="X36" s="678">
        <v>2</v>
      </c>
      <c r="Y36" s="678">
        <v>1</v>
      </c>
      <c r="Z36" s="678">
        <v>0</v>
      </c>
      <c r="AA36" s="678">
        <v>1</v>
      </c>
      <c r="AB36" s="678">
        <v>4</v>
      </c>
      <c r="AC36" s="678">
        <v>4</v>
      </c>
      <c r="AD36" s="678">
        <v>1</v>
      </c>
      <c r="AE36" s="678">
        <v>18</v>
      </c>
      <c r="AF36" s="678">
        <v>2</v>
      </c>
      <c r="AG36" s="678">
        <v>7</v>
      </c>
      <c r="AH36" s="678">
        <v>0</v>
      </c>
      <c r="AI36" s="180"/>
    </row>
    <row r="37" spans="1:35" ht="18.75" customHeight="1" x14ac:dyDescent="0.15">
      <c r="A37" s="986"/>
      <c r="B37" s="569">
        <f t="shared" ref="B37:I37" si="21">B36/B$14</f>
        <v>8.7209302325581398E-2</v>
      </c>
      <c r="C37" s="569">
        <f t="shared" si="21"/>
        <v>6.6176470588235295E-2</v>
      </c>
      <c r="D37" s="569">
        <f t="shared" si="21"/>
        <v>7.7253218884120178E-2</v>
      </c>
      <c r="E37" s="569">
        <f t="shared" si="21"/>
        <v>7.1428571428571425E-2</v>
      </c>
      <c r="F37" s="569">
        <f t="shared" si="21"/>
        <v>0.11827956989247312</v>
      </c>
      <c r="G37" s="569">
        <f t="shared" si="21"/>
        <v>0.1050228310502283</v>
      </c>
      <c r="H37" s="569">
        <f t="shared" si="21"/>
        <v>0.1072463768115942</v>
      </c>
      <c r="I37" s="569">
        <f t="shared" si="21"/>
        <v>8.673469387755102E-2</v>
      </c>
      <c r="J37" s="569">
        <f t="shared" ref="J37:K37" si="22">J36/J$14</f>
        <v>6.25E-2</v>
      </c>
      <c r="K37" s="569">
        <f t="shared" si="22"/>
        <v>8.9666484417714604E-2</v>
      </c>
      <c r="M37" s="679" t="s">
        <v>177</v>
      </c>
      <c r="N37" s="678">
        <v>0</v>
      </c>
      <c r="O37" s="678">
        <v>0</v>
      </c>
      <c r="P37" s="678">
        <v>0</v>
      </c>
      <c r="Q37" s="678">
        <v>0</v>
      </c>
      <c r="R37" s="678">
        <v>1</v>
      </c>
      <c r="S37" s="678">
        <v>0</v>
      </c>
      <c r="T37" s="678">
        <v>0</v>
      </c>
      <c r="U37" s="678">
        <v>0</v>
      </c>
      <c r="V37" s="678">
        <v>0</v>
      </c>
      <c r="W37" s="678">
        <v>2</v>
      </c>
      <c r="X37" s="678">
        <v>0</v>
      </c>
      <c r="Y37" s="678">
        <v>0</v>
      </c>
      <c r="Z37" s="678">
        <v>1</v>
      </c>
      <c r="AA37" s="678">
        <v>0</v>
      </c>
      <c r="AB37" s="678">
        <v>0</v>
      </c>
      <c r="AC37" s="678">
        <v>0</v>
      </c>
      <c r="AD37" s="678">
        <v>0</v>
      </c>
      <c r="AE37" s="678">
        <v>1</v>
      </c>
      <c r="AF37" s="678">
        <v>0</v>
      </c>
      <c r="AG37" s="678">
        <v>1</v>
      </c>
      <c r="AH37" s="678">
        <v>0</v>
      </c>
      <c r="AI37" s="180"/>
    </row>
    <row r="38" spans="1:35" ht="18.75" customHeight="1" x14ac:dyDescent="0.15">
      <c r="A38" s="999" t="s">
        <v>43</v>
      </c>
      <c r="B38" s="546">
        <f>SUM(N31:P31)</f>
        <v>46</v>
      </c>
      <c r="C38" s="546">
        <f>SUM(Q31:R31)</f>
        <v>51</v>
      </c>
      <c r="D38" s="546">
        <f>SUM(S31:V31)</f>
        <v>91</v>
      </c>
      <c r="E38" s="546">
        <f>SUM(W31:Y31)</f>
        <v>75</v>
      </c>
      <c r="F38" s="546">
        <f>SUM(Z31:AA31)</f>
        <v>79</v>
      </c>
      <c r="G38" s="546">
        <f>SUM(AB31:AD31)</f>
        <v>75</v>
      </c>
      <c r="H38" s="546">
        <f>AE31</f>
        <v>112</v>
      </c>
      <c r="I38" s="546">
        <f>AF31</f>
        <v>60</v>
      </c>
      <c r="J38" s="546">
        <f>SUM(AG31:AH31)</f>
        <v>55</v>
      </c>
      <c r="K38" s="547">
        <f>SUM(B38:J38)</f>
        <v>644</v>
      </c>
      <c r="M38" s="679" t="s">
        <v>178</v>
      </c>
      <c r="N38" s="678">
        <v>3</v>
      </c>
      <c r="O38" s="678">
        <v>5</v>
      </c>
      <c r="P38" s="678">
        <v>5</v>
      </c>
      <c r="Q38" s="678">
        <v>5</v>
      </c>
      <c r="R38" s="678">
        <v>6</v>
      </c>
      <c r="S38" s="678">
        <v>13</v>
      </c>
      <c r="T38" s="678">
        <v>3</v>
      </c>
      <c r="U38" s="678">
        <v>2</v>
      </c>
      <c r="V38" s="678">
        <v>0</v>
      </c>
      <c r="W38" s="678">
        <v>14</v>
      </c>
      <c r="X38" s="678">
        <v>7</v>
      </c>
      <c r="Y38" s="678">
        <v>1</v>
      </c>
      <c r="Z38" s="678">
        <v>2</v>
      </c>
      <c r="AA38" s="678">
        <v>3</v>
      </c>
      <c r="AB38" s="678">
        <v>10</v>
      </c>
      <c r="AC38" s="678">
        <v>11</v>
      </c>
      <c r="AD38" s="678">
        <v>6</v>
      </c>
      <c r="AE38" s="678">
        <v>26</v>
      </c>
      <c r="AF38" s="678">
        <v>9</v>
      </c>
      <c r="AG38" s="678">
        <v>16</v>
      </c>
      <c r="AH38" s="678">
        <v>2</v>
      </c>
      <c r="AI38" s="180"/>
    </row>
    <row r="39" spans="1:35" ht="18.75" customHeight="1" x14ac:dyDescent="0.15">
      <c r="A39" s="1000"/>
      <c r="B39" s="569">
        <f t="shared" ref="B39:I39" si="23">B38/B$14</f>
        <v>0.26744186046511625</v>
      </c>
      <c r="C39" s="569">
        <f t="shared" si="23"/>
        <v>0.375</v>
      </c>
      <c r="D39" s="569">
        <f t="shared" si="23"/>
        <v>0.3905579399141631</v>
      </c>
      <c r="E39" s="569">
        <f t="shared" si="23"/>
        <v>0.41208791208791207</v>
      </c>
      <c r="F39" s="569">
        <f t="shared" si="23"/>
        <v>0.42473118279569894</v>
      </c>
      <c r="G39" s="569">
        <f t="shared" si="23"/>
        <v>0.34246575342465752</v>
      </c>
      <c r="H39" s="569">
        <f t="shared" si="23"/>
        <v>0.32463768115942027</v>
      </c>
      <c r="I39" s="569">
        <f t="shared" si="23"/>
        <v>0.30612244897959184</v>
      </c>
      <c r="J39" s="569">
        <f t="shared" ref="J39:K39" si="24">J38/J$14</f>
        <v>0.34375</v>
      </c>
      <c r="K39" s="569">
        <f t="shared" si="24"/>
        <v>0.35210497539639146</v>
      </c>
      <c r="M39" s="679" t="s">
        <v>179</v>
      </c>
      <c r="N39" s="678">
        <v>4</v>
      </c>
      <c r="O39" s="678">
        <v>4</v>
      </c>
      <c r="P39" s="678">
        <v>3</v>
      </c>
      <c r="Q39" s="678">
        <v>1</v>
      </c>
      <c r="R39" s="678">
        <v>3</v>
      </c>
      <c r="S39" s="678">
        <v>7</v>
      </c>
      <c r="T39" s="678">
        <v>3</v>
      </c>
      <c r="U39" s="678">
        <v>2</v>
      </c>
      <c r="V39" s="678">
        <v>0</v>
      </c>
      <c r="W39" s="678">
        <v>15</v>
      </c>
      <c r="X39" s="678">
        <v>11</v>
      </c>
      <c r="Y39" s="678">
        <v>1</v>
      </c>
      <c r="Z39" s="678">
        <v>2</v>
      </c>
      <c r="AA39" s="678">
        <v>3</v>
      </c>
      <c r="AB39" s="678">
        <v>6</v>
      </c>
      <c r="AC39" s="678">
        <v>10</v>
      </c>
      <c r="AD39" s="678">
        <v>7</v>
      </c>
      <c r="AE39" s="678">
        <v>28</v>
      </c>
      <c r="AF39" s="678">
        <v>4</v>
      </c>
      <c r="AG39" s="678">
        <v>15</v>
      </c>
      <c r="AH39" s="678">
        <v>2</v>
      </c>
      <c r="AI39" s="180"/>
    </row>
    <row r="40" spans="1:35" ht="18.75" customHeight="1" x14ac:dyDescent="0.15">
      <c r="A40" s="999" t="s">
        <v>44</v>
      </c>
      <c r="B40" s="546">
        <f>SUM(N32:P32)</f>
        <v>33</v>
      </c>
      <c r="C40" s="546">
        <f>SUM(Q32:R32)</f>
        <v>22</v>
      </c>
      <c r="D40" s="546">
        <f>SUM(S32:V32)</f>
        <v>48</v>
      </c>
      <c r="E40" s="546">
        <f>SUM(W32:Y32)</f>
        <v>27</v>
      </c>
      <c r="F40" s="546">
        <f>SUM(Z32:AA32)</f>
        <v>24</v>
      </c>
      <c r="G40" s="546">
        <f>SUM(AB32:AD32)</f>
        <v>31</v>
      </c>
      <c r="H40" s="546">
        <f>AE32</f>
        <v>53</v>
      </c>
      <c r="I40" s="546">
        <f>AF32</f>
        <v>27</v>
      </c>
      <c r="J40" s="546">
        <f>SUM(AG32:AH32)</f>
        <v>30</v>
      </c>
      <c r="K40" s="547">
        <f>SUM(B40:J40)</f>
        <v>295</v>
      </c>
      <c r="M40" s="679" t="s">
        <v>180</v>
      </c>
      <c r="N40" s="678">
        <v>0</v>
      </c>
      <c r="O40" s="678">
        <v>0</v>
      </c>
      <c r="P40" s="678">
        <v>0</v>
      </c>
      <c r="Q40" s="678">
        <v>1</v>
      </c>
      <c r="R40" s="678">
        <v>0</v>
      </c>
      <c r="S40" s="678">
        <v>1</v>
      </c>
      <c r="T40" s="678">
        <v>0</v>
      </c>
      <c r="U40" s="678">
        <v>0</v>
      </c>
      <c r="V40" s="678">
        <v>0</v>
      </c>
      <c r="W40" s="678">
        <v>1</v>
      </c>
      <c r="X40" s="678">
        <v>1</v>
      </c>
      <c r="Y40" s="678">
        <v>0</v>
      </c>
      <c r="Z40" s="678">
        <v>1</v>
      </c>
      <c r="AA40" s="678">
        <v>0</v>
      </c>
      <c r="AB40" s="678">
        <v>1</v>
      </c>
      <c r="AC40" s="678">
        <v>0</v>
      </c>
      <c r="AD40" s="678">
        <v>1</v>
      </c>
      <c r="AE40" s="678">
        <v>7</v>
      </c>
      <c r="AF40" s="678">
        <v>0</v>
      </c>
      <c r="AG40" s="678">
        <v>13</v>
      </c>
      <c r="AH40" s="678">
        <v>1</v>
      </c>
      <c r="AI40" s="180"/>
    </row>
    <row r="41" spans="1:35" ht="18.75" customHeight="1" x14ac:dyDescent="0.15">
      <c r="A41" s="1000"/>
      <c r="B41" s="569">
        <f t="shared" ref="B41:I41" si="25">B40/B$14</f>
        <v>0.19186046511627908</v>
      </c>
      <c r="C41" s="569">
        <f t="shared" si="25"/>
        <v>0.16176470588235295</v>
      </c>
      <c r="D41" s="569">
        <f t="shared" si="25"/>
        <v>0.20600858369098712</v>
      </c>
      <c r="E41" s="569">
        <f t="shared" si="25"/>
        <v>0.14835164835164835</v>
      </c>
      <c r="F41" s="569">
        <f t="shared" si="25"/>
        <v>0.12903225806451613</v>
      </c>
      <c r="G41" s="569">
        <f t="shared" si="25"/>
        <v>0.14155251141552511</v>
      </c>
      <c r="H41" s="569">
        <f t="shared" si="25"/>
        <v>0.15362318840579711</v>
      </c>
      <c r="I41" s="569">
        <f t="shared" si="25"/>
        <v>0.13775510204081631</v>
      </c>
      <c r="J41" s="569">
        <f t="shared" ref="J41:K41" si="26">J40/J$14</f>
        <v>0.1875</v>
      </c>
      <c r="K41" s="569">
        <f t="shared" si="26"/>
        <v>0.16129032258064516</v>
      </c>
      <c r="M41" s="679" t="s">
        <v>383</v>
      </c>
      <c r="N41" s="678">
        <v>7</v>
      </c>
      <c r="O41" s="678">
        <v>12</v>
      </c>
      <c r="P41" s="678">
        <v>6</v>
      </c>
      <c r="Q41" s="678">
        <v>7</v>
      </c>
      <c r="R41" s="678">
        <v>2</v>
      </c>
      <c r="S41" s="678">
        <v>20</v>
      </c>
      <c r="T41" s="678">
        <v>4</v>
      </c>
      <c r="U41" s="678">
        <v>15</v>
      </c>
      <c r="V41" s="678">
        <v>11</v>
      </c>
      <c r="W41" s="678">
        <v>8</v>
      </c>
      <c r="X41" s="678">
        <v>4</v>
      </c>
      <c r="Y41" s="678">
        <v>2</v>
      </c>
      <c r="Z41" s="678">
        <v>10</v>
      </c>
      <c r="AA41" s="678">
        <v>21</v>
      </c>
      <c r="AB41" s="678">
        <v>17</v>
      </c>
      <c r="AC41" s="678">
        <v>14</v>
      </c>
      <c r="AD41" s="678">
        <v>11</v>
      </c>
      <c r="AE41" s="678">
        <v>63</v>
      </c>
      <c r="AF41" s="678">
        <v>41</v>
      </c>
      <c r="AG41" s="678">
        <v>19</v>
      </c>
      <c r="AH41" s="678">
        <v>1</v>
      </c>
      <c r="AI41" s="180"/>
    </row>
    <row r="42" spans="1:35" ht="18.75" customHeight="1" x14ac:dyDescent="0.15">
      <c r="A42" s="985" t="s">
        <v>356</v>
      </c>
      <c r="B42" s="546">
        <f>SUM(N33:P33)</f>
        <v>35</v>
      </c>
      <c r="C42" s="546">
        <f>SUM(Q33:R33)</f>
        <v>19</v>
      </c>
      <c r="D42" s="546">
        <f>SUM(S33:V33)</f>
        <v>37</v>
      </c>
      <c r="E42" s="546">
        <f>SUM(W33:Y33)</f>
        <v>41</v>
      </c>
      <c r="F42" s="546">
        <f>SUM(Z33:AA33)</f>
        <v>34</v>
      </c>
      <c r="G42" s="546">
        <f>SUM(AB33:AD33)</f>
        <v>50</v>
      </c>
      <c r="H42" s="546">
        <f>AE33</f>
        <v>59</v>
      </c>
      <c r="I42" s="546">
        <f>AF33</f>
        <v>36</v>
      </c>
      <c r="J42" s="546">
        <f>SUM(AG33:AH33)</f>
        <v>31</v>
      </c>
      <c r="K42" s="547">
        <f>SUM(B42:J42)</f>
        <v>342</v>
      </c>
      <c r="M42" s="679" t="s">
        <v>384</v>
      </c>
      <c r="N42" s="678">
        <v>8</v>
      </c>
      <c r="O42" s="678">
        <v>6</v>
      </c>
      <c r="P42" s="678">
        <v>5</v>
      </c>
      <c r="Q42" s="678">
        <v>10</v>
      </c>
      <c r="R42" s="678">
        <v>5</v>
      </c>
      <c r="S42" s="678">
        <v>11</v>
      </c>
      <c r="T42" s="678">
        <v>3</v>
      </c>
      <c r="U42" s="678">
        <v>2</v>
      </c>
      <c r="V42" s="678">
        <v>4</v>
      </c>
      <c r="W42" s="678">
        <v>4</v>
      </c>
      <c r="X42" s="678">
        <v>5</v>
      </c>
      <c r="Y42" s="678">
        <v>0</v>
      </c>
      <c r="Z42" s="678">
        <v>3</v>
      </c>
      <c r="AA42" s="678">
        <v>3</v>
      </c>
      <c r="AB42" s="678">
        <v>3</v>
      </c>
      <c r="AC42" s="678">
        <v>6</v>
      </c>
      <c r="AD42" s="678">
        <v>6</v>
      </c>
      <c r="AE42" s="678">
        <v>40</v>
      </c>
      <c r="AF42" s="678">
        <v>37</v>
      </c>
      <c r="AG42" s="678">
        <v>12</v>
      </c>
      <c r="AH42" s="678">
        <v>0</v>
      </c>
      <c r="AI42" s="180"/>
    </row>
    <row r="43" spans="1:35" ht="18.75" customHeight="1" x14ac:dyDescent="0.15">
      <c r="A43" s="986"/>
      <c r="B43" s="569">
        <f t="shared" ref="B43:I43" si="27">B42/B$14</f>
        <v>0.20348837209302326</v>
      </c>
      <c r="C43" s="569">
        <f t="shared" si="27"/>
        <v>0.13970588235294118</v>
      </c>
      <c r="D43" s="569">
        <f t="shared" si="27"/>
        <v>0.15879828326180256</v>
      </c>
      <c r="E43" s="569">
        <f t="shared" si="27"/>
        <v>0.22527472527472528</v>
      </c>
      <c r="F43" s="569">
        <f t="shared" si="27"/>
        <v>0.18279569892473119</v>
      </c>
      <c r="G43" s="569">
        <f t="shared" si="27"/>
        <v>0.22831050228310501</v>
      </c>
      <c r="H43" s="569">
        <f t="shared" si="27"/>
        <v>0.17101449275362318</v>
      </c>
      <c r="I43" s="569">
        <f t="shared" si="27"/>
        <v>0.18367346938775511</v>
      </c>
      <c r="J43" s="569">
        <f t="shared" ref="J43:K43" si="28">J42/J$14</f>
        <v>0.19375000000000001</v>
      </c>
      <c r="K43" s="569">
        <f t="shared" si="28"/>
        <v>0.18698742482230726</v>
      </c>
      <c r="M43" s="679" t="s">
        <v>181</v>
      </c>
      <c r="N43" s="678">
        <v>3</v>
      </c>
      <c r="O43" s="678">
        <v>2</v>
      </c>
      <c r="P43" s="678">
        <v>1</v>
      </c>
      <c r="Q43" s="678">
        <v>0</v>
      </c>
      <c r="R43" s="678">
        <v>2</v>
      </c>
      <c r="S43" s="678">
        <v>0</v>
      </c>
      <c r="T43" s="678">
        <v>1</v>
      </c>
      <c r="U43" s="678">
        <v>1</v>
      </c>
      <c r="V43" s="678">
        <v>1</v>
      </c>
      <c r="W43" s="678">
        <v>5</v>
      </c>
      <c r="X43" s="678">
        <v>2</v>
      </c>
      <c r="Y43" s="678">
        <v>0</v>
      </c>
      <c r="Z43" s="678">
        <v>3</v>
      </c>
      <c r="AA43" s="678">
        <v>1</v>
      </c>
      <c r="AB43" s="678">
        <v>1</v>
      </c>
      <c r="AC43" s="678">
        <v>5</v>
      </c>
      <c r="AD43" s="678">
        <v>2</v>
      </c>
      <c r="AE43" s="678">
        <v>13</v>
      </c>
      <c r="AF43" s="678">
        <v>4</v>
      </c>
      <c r="AG43" s="678">
        <v>3</v>
      </c>
      <c r="AH43" s="678">
        <v>0</v>
      </c>
      <c r="AI43" s="180"/>
    </row>
    <row r="44" spans="1:35" ht="18.75" customHeight="1" x14ac:dyDescent="0.15">
      <c r="A44" s="985" t="s">
        <v>46</v>
      </c>
      <c r="B44" s="546">
        <f>SUM(N34:P34)</f>
        <v>54</v>
      </c>
      <c r="C44" s="546">
        <f>SUM(Q34:R34)</f>
        <v>56</v>
      </c>
      <c r="D44" s="546">
        <f>SUM(S34:V34)</f>
        <v>114</v>
      </c>
      <c r="E44" s="546">
        <f>SUM(W34:Y34)</f>
        <v>60</v>
      </c>
      <c r="F44" s="546">
        <f>SUM(Z34:AA34)</f>
        <v>32</v>
      </c>
      <c r="G44" s="546">
        <f>SUM(AB34:AD34)</f>
        <v>71</v>
      </c>
      <c r="H44" s="546">
        <f>AE34</f>
        <v>113</v>
      </c>
      <c r="I44" s="546">
        <f>AF34</f>
        <v>48</v>
      </c>
      <c r="J44" s="546">
        <f>SUM(AG34:AH34)</f>
        <v>57</v>
      </c>
      <c r="K44" s="547">
        <f>SUM(B44:J44)</f>
        <v>605</v>
      </c>
    </row>
    <row r="45" spans="1:35" ht="18.75" customHeight="1" x14ac:dyDescent="0.15">
      <c r="A45" s="986"/>
      <c r="B45" s="569">
        <f t="shared" ref="B45:I45" si="29">B44/B$14</f>
        <v>0.31395348837209303</v>
      </c>
      <c r="C45" s="569">
        <f t="shared" si="29"/>
        <v>0.41176470588235292</v>
      </c>
      <c r="D45" s="569">
        <f t="shared" si="29"/>
        <v>0.48927038626609443</v>
      </c>
      <c r="E45" s="569">
        <f t="shared" si="29"/>
        <v>0.32967032967032966</v>
      </c>
      <c r="F45" s="569">
        <f t="shared" si="29"/>
        <v>0.17204301075268819</v>
      </c>
      <c r="G45" s="569">
        <f t="shared" si="29"/>
        <v>0.32420091324200911</v>
      </c>
      <c r="H45" s="569">
        <f t="shared" si="29"/>
        <v>0.32753623188405795</v>
      </c>
      <c r="I45" s="569">
        <f t="shared" si="29"/>
        <v>0.24489795918367346</v>
      </c>
      <c r="J45" s="569">
        <f t="shared" ref="J45:K45" si="30">J44/J$14</f>
        <v>0.35625000000000001</v>
      </c>
      <c r="K45" s="569">
        <f t="shared" si="30"/>
        <v>0.33078184800437399</v>
      </c>
    </row>
    <row r="46" spans="1:35" ht="18.75" customHeight="1" x14ac:dyDescent="0.15">
      <c r="A46" s="985" t="s">
        <v>47</v>
      </c>
      <c r="B46" s="546">
        <f>SUM(N35:P35)</f>
        <v>9</v>
      </c>
      <c r="C46" s="546">
        <f>SUM(Q35:R35)</f>
        <v>12</v>
      </c>
      <c r="D46" s="546">
        <f>SUM(S35:V35)</f>
        <v>19</v>
      </c>
      <c r="E46" s="546">
        <f>SUM(W35:Y35)</f>
        <v>9</v>
      </c>
      <c r="F46" s="546">
        <f>SUM(Z35:AA35)</f>
        <v>4</v>
      </c>
      <c r="G46" s="546">
        <f>SUM(AB35:AD35)</f>
        <v>30</v>
      </c>
      <c r="H46" s="546">
        <f>AE35</f>
        <v>15</v>
      </c>
      <c r="I46" s="546">
        <f>AF35</f>
        <v>8</v>
      </c>
      <c r="J46" s="546">
        <f>SUM(AG35:AH35)</f>
        <v>15</v>
      </c>
      <c r="K46" s="547">
        <f>SUM(B46:J46)</f>
        <v>121</v>
      </c>
    </row>
    <row r="47" spans="1:35" ht="18.75" customHeight="1" x14ac:dyDescent="0.15">
      <c r="A47" s="986"/>
      <c r="B47" s="569">
        <f t="shared" ref="B47:I47" si="31">B46/B$14</f>
        <v>5.232558139534884E-2</v>
      </c>
      <c r="C47" s="569">
        <f t="shared" si="31"/>
        <v>8.8235294117647065E-2</v>
      </c>
      <c r="D47" s="569">
        <f t="shared" si="31"/>
        <v>8.15450643776824E-2</v>
      </c>
      <c r="E47" s="569">
        <f t="shared" si="31"/>
        <v>4.9450549450549448E-2</v>
      </c>
      <c r="F47" s="569">
        <f t="shared" si="31"/>
        <v>2.1505376344086023E-2</v>
      </c>
      <c r="G47" s="569">
        <f t="shared" si="31"/>
        <v>0.13698630136986301</v>
      </c>
      <c r="H47" s="569">
        <f t="shared" si="31"/>
        <v>4.3478260869565216E-2</v>
      </c>
      <c r="I47" s="569">
        <f t="shared" si="31"/>
        <v>4.0816326530612242E-2</v>
      </c>
      <c r="J47" s="569">
        <f t="shared" ref="J47:K47" si="32">J46/J$14</f>
        <v>9.375E-2</v>
      </c>
      <c r="K47" s="569">
        <f t="shared" si="32"/>
        <v>6.6156369600874801E-2</v>
      </c>
    </row>
    <row r="48" spans="1:35" ht="18.75" customHeight="1" x14ac:dyDescent="0.15">
      <c r="A48" s="985" t="s">
        <v>48</v>
      </c>
      <c r="B48" s="546">
        <f>SUM(N36:P36)</f>
        <v>13</v>
      </c>
      <c r="C48" s="546">
        <f>SUM(Q36:R36)</f>
        <v>3</v>
      </c>
      <c r="D48" s="546">
        <f>SUM(S36:V36)</f>
        <v>5</v>
      </c>
      <c r="E48" s="546">
        <f>SUM(W36:Y36)</f>
        <v>12</v>
      </c>
      <c r="F48" s="546">
        <f>SUM(Z36:AA36)</f>
        <v>1</v>
      </c>
      <c r="G48" s="546">
        <f>SUM(AB36:AD36)</f>
        <v>9</v>
      </c>
      <c r="H48" s="546">
        <f>AE36</f>
        <v>18</v>
      </c>
      <c r="I48" s="546">
        <f>AF36</f>
        <v>2</v>
      </c>
      <c r="J48" s="546">
        <f>SUM(AG36:AH36)</f>
        <v>7</v>
      </c>
      <c r="K48" s="547">
        <f>SUM(B48:J48)</f>
        <v>70</v>
      </c>
    </row>
    <row r="49" spans="1:11" ht="18.75" customHeight="1" x14ac:dyDescent="0.15">
      <c r="A49" s="986"/>
      <c r="B49" s="569">
        <f t="shared" ref="B49:I49" si="33">B48/B$14</f>
        <v>7.5581395348837205E-2</v>
      </c>
      <c r="C49" s="569">
        <f t="shared" si="33"/>
        <v>2.2058823529411766E-2</v>
      </c>
      <c r="D49" s="569">
        <f t="shared" si="33"/>
        <v>2.1459227467811159E-2</v>
      </c>
      <c r="E49" s="569">
        <f t="shared" si="33"/>
        <v>6.5934065934065936E-2</v>
      </c>
      <c r="F49" s="569">
        <f t="shared" si="33"/>
        <v>5.3763440860215058E-3</v>
      </c>
      <c r="G49" s="569">
        <f t="shared" si="33"/>
        <v>4.1095890410958902E-2</v>
      </c>
      <c r="H49" s="569">
        <f t="shared" si="33"/>
        <v>5.2173913043478258E-2</v>
      </c>
      <c r="I49" s="569">
        <f t="shared" si="33"/>
        <v>1.020408163265306E-2</v>
      </c>
      <c r="J49" s="569">
        <f t="shared" ref="J49:K49" si="34">J48/J$14</f>
        <v>4.3749999999999997E-2</v>
      </c>
      <c r="K49" s="569">
        <f t="shared" si="34"/>
        <v>3.8272279934390377E-2</v>
      </c>
    </row>
    <row r="50" spans="1:11" ht="18.75" customHeight="1" x14ac:dyDescent="0.15">
      <c r="A50" s="1001" t="s">
        <v>49</v>
      </c>
      <c r="B50" s="546">
        <f>SUM(N37:P37)</f>
        <v>0</v>
      </c>
      <c r="C50" s="546">
        <f>SUM(Q37:R37)</f>
        <v>1</v>
      </c>
      <c r="D50" s="546">
        <f>SUM(S37:V37)</f>
        <v>0</v>
      </c>
      <c r="E50" s="546">
        <f>SUM(W37:Y37)</f>
        <v>2</v>
      </c>
      <c r="F50" s="546">
        <f>SUM(Z37:AA37)</f>
        <v>1</v>
      </c>
      <c r="G50" s="546">
        <f>SUM(AB37:AD37)</f>
        <v>0</v>
      </c>
      <c r="H50" s="546">
        <f>AE37</f>
        <v>1</v>
      </c>
      <c r="I50" s="546">
        <f>AF37</f>
        <v>0</v>
      </c>
      <c r="J50" s="546">
        <f>SUM(AG37:AH37)</f>
        <v>1</v>
      </c>
      <c r="K50" s="547">
        <f>SUM(B50:J50)</f>
        <v>6</v>
      </c>
    </row>
    <row r="51" spans="1:11" ht="18.75" customHeight="1" x14ac:dyDescent="0.15">
      <c r="A51" s="986"/>
      <c r="B51" s="569">
        <f t="shared" ref="B51:I51" si="35">B50/B$14</f>
        <v>0</v>
      </c>
      <c r="C51" s="569">
        <f t="shared" si="35"/>
        <v>7.3529411764705881E-3</v>
      </c>
      <c r="D51" s="569">
        <f t="shared" si="35"/>
        <v>0</v>
      </c>
      <c r="E51" s="569">
        <f t="shared" si="35"/>
        <v>1.098901098901099E-2</v>
      </c>
      <c r="F51" s="569">
        <f t="shared" si="35"/>
        <v>5.3763440860215058E-3</v>
      </c>
      <c r="G51" s="569">
        <f t="shared" si="35"/>
        <v>0</v>
      </c>
      <c r="H51" s="569">
        <f t="shared" si="35"/>
        <v>2.8985507246376812E-3</v>
      </c>
      <c r="I51" s="569">
        <f t="shared" si="35"/>
        <v>0</v>
      </c>
      <c r="J51" s="569">
        <f t="shared" ref="J51:K51" si="36">J50/J$14</f>
        <v>6.2500000000000003E-3</v>
      </c>
      <c r="K51" s="569">
        <f t="shared" si="36"/>
        <v>3.2804811372334607E-3</v>
      </c>
    </row>
    <row r="52" spans="1:11" ht="18.75" customHeight="1" x14ac:dyDescent="0.15">
      <c r="A52" s="999" t="s">
        <v>50</v>
      </c>
      <c r="B52" s="546">
        <f>SUM(N38:P38)</f>
        <v>13</v>
      </c>
      <c r="C52" s="546">
        <f>SUM(Q38:R38)</f>
        <v>11</v>
      </c>
      <c r="D52" s="546">
        <f>SUM(S38:V38)</f>
        <v>18</v>
      </c>
      <c r="E52" s="546">
        <f>SUM(W38:Y38)</f>
        <v>22</v>
      </c>
      <c r="F52" s="546">
        <f>SUM(Z38:AA38)</f>
        <v>5</v>
      </c>
      <c r="G52" s="546">
        <f>SUM(AB38:AD38)</f>
        <v>27</v>
      </c>
      <c r="H52" s="546">
        <f>AE38</f>
        <v>26</v>
      </c>
      <c r="I52" s="546">
        <f>AF38</f>
        <v>9</v>
      </c>
      <c r="J52" s="546">
        <f>SUM(AG38:AH38)</f>
        <v>18</v>
      </c>
      <c r="K52" s="547">
        <f>SUM(B52:J52)</f>
        <v>149</v>
      </c>
    </row>
    <row r="53" spans="1:11" ht="18.75" customHeight="1" x14ac:dyDescent="0.15">
      <c r="A53" s="1000"/>
      <c r="B53" s="569">
        <f t="shared" ref="B53:I53" si="37">B52/B$14</f>
        <v>7.5581395348837205E-2</v>
      </c>
      <c r="C53" s="569">
        <f t="shared" si="37"/>
        <v>8.0882352941176475E-2</v>
      </c>
      <c r="D53" s="569">
        <f t="shared" si="37"/>
        <v>7.7253218884120178E-2</v>
      </c>
      <c r="E53" s="569">
        <f t="shared" si="37"/>
        <v>0.12087912087912088</v>
      </c>
      <c r="F53" s="569">
        <f t="shared" si="37"/>
        <v>2.6881720430107527E-2</v>
      </c>
      <c r="G53" s="569">
        <f t="shared" si="37"/>
        <v>0.12328767123287671</v>
      </c>
      <c r="H53" s="569">
        <f t="shared" si="37"/>
        <v>7.5362318840579715E-2</v>
      </c>
      <c r="I53" s="569">
        <f t="shared" si="37"/>
        <v>4.5918367346938778E-2</v>
      </c>
      <c r="J53" s="569">
        <f t="shared" ref="J53:K53" si="38">J52/J$14</f>
        <v>0.1125</v>
      </c>
      <c r="K53" s="569">
        <f t="shared" si="38"/>
        <v>8.1465281574630941E-2</v>
      </c>
    </row>
    <row r="54" spans="1:11" ht="18.75" customHeight="1" x14ac:dyDescent="0.15">
      <c r="A54" s="999" t="s">
        <v>51</v>
      </c>
      <c r="B54" s="546">
        <f>SUM(N39:P39)</f>
        <v>11</v>
      </c>
      <c r="C54" s="546">
        <f>SUM(Q39:R39)</f>
        <v>4</v>
      </c>
      <c r="D54" s="546">
        <f>SUM(S39:V39)</f>
        <v>12</v>
      </c>
      <c r="E54" s="546">
        <f>SUM(W39:Y39)</f>
        <v>27</v>
      </c>
      <c r="F54" s="546">
        <f>SUM(Z39:AA39)</f>
        <v>5</v>
      </c>
      <c r="G54" s="546">
        <f>SUM(AB39:AD39)</f>
        <v>23</v>
      </c>
      <c r="H54" s="546">
        <f>AE39</f>
        <v>28</v>
      </c>
      <c r="I54" s="546">
        <f>AF39</f>
        <v>4</v>
      </c>
      <c r="J54" s="546">
        <f>SUM(AG39:AH39)</f>
        <v>17</v>
      </c>
      <c r="K54" s="547">
        <f>SUM(B54:J54)</f>
        <v>131</v>
      </c>
    </row>
    <row r="55" spans="1:11" ht="18.75" customHeight="1" x14ac:dyDescent="0.15">
      <c r="A55" s="1000"/>
      <c r="B55" s="569">
        <f t="shared" ref="B55:I55" si="39">B54/B$14</f>
        <v>6.3953488372093026E-2</v>
      </c>
      <c r="C55" s="569">
        <f t="shared" si="39"/>
        <v>2.9411764705882353E-2</v>
      </c>
      <c r="D55" s="569">
        <f t="shared" si="39"/>
        <v>5.1502145922746781E-2</v>
      </c>
      <c r="E55" s="569">
        <f t="shared" si="39"/>
        <v>0.14835164835164835</v>
      </c>
      <c r="F55" s="569">
        <f t="shared" si="39"/>
        <v>2.6881720430107527E-2</v>
      </c>
      <c r="G55" s="569">
        <f t="shared" si="39"/>
        <v>0.1050228310502283</v>
      </c>
      <c r="H55" s="569">
        <f t="shared" si="39"/>
        <v>8.1159420289855067E-2</v>
      </c>
      <c r="I55" s="569">
        <f t="shared" si="39"/>
        <v>2.0408163265306121E-2</v>
      </c>
      <c r="J55" s="569">
        <f t="shared" ref="J55:K55" si="40">J54/J$14</f>
        <v>0.10625</v>
      </c>
      <c r="K55" s="569">
        <f t="shared" si="40"/>
        <v>7.1623838162930567E-2</v>
      </c>
    </row>
    <row r="56" spans="1:11" ht="18.75" customHeight="1" x14ac:dyDescent="0.15">
      <c r="A56" s="999" t="s">
        <v>337</v>
      </c>
      <c r="B56" s="546">
        <f>SUM(N40:P40)</f>
        <v>0</v>
      </c>
      <c r="C56" s="546">
        <f>SUM(Q40:R40)</f>
        <v>1</v>
      </c>
      <c r="D56" s="546">
        <f>SUM(S40:V40)</f>
        <v>1</v>
      </c>
      <c r="E56" s="546">
        <f>SUM(W40:Y40)</f>
        <v>2</v>
      </c>
      <c r="F56" s="546">
        <f>SUM(Z40:AA40)</f>
        <v>1</v>
      </c>
      <c r="G56" s="546">
        <f>SUM(AB40:AD40)</f>
        <v>2</v>
      </c>
      <c r="H56" s="546">
        <f>AE40</f>
        <v>7</v>
      </c>
      <c r="I56" s="546">
        <f>AF40</f>
        <v>0</v>
      </c>
      <c r="J56" s="546">
        <f>SUM(AG40:AH40)</f>
        <v>14</v>
      </c>
      <c r="K56" s="547">
        <f>SUM(B56:J56)</f>
        <v>28</v>
      </c>
    </row>
    <row r="57" spans="1:11" ht="18.75" customHeight="1" x14ac:dyDescent="0.15">
      <c r="A57" s="1000"/>
      <c r="B57" s="569">
        <f t="shared" ref="B57:I57" si="41">B56/B$14</f>
        <v>0</v>
      </c>
      <c r="C57" s="569">
        <f t="shared" si="41"/>
        <v>7.3529411764705881E-3</v>
      </c>
      <c r="D57" s="569">
        <f t="shared" si="41"/>
        <v>4.2918454935622317E-3</v>
      </c>
      <c r="E57" s="569">
        <f t="shared" si="41"/>
        <v>1.098901098901099E-2</v>
      </c>
      <c r="F57" s="569">
        <f t="shared" si="41"/>
        <v>5.3763440860215058E-3</v>
      </c>
      <c r="G57" s="569">
        <f t="shared" si="41"/>
        <v>9.1324200913242004E-3</v>
      </c>
      <c r="H57" s="569">
        <f t="shared" si="41"/>
        <v>2.0289855072463767E-2</v>
      </c>
      <c r="I57" s="569">
        <f t="shared" si="41"/>
        <v>0</v>
      </c>
      <c r="J57" s="569">
        <f t="shared" ref="J57:K57" si="42">J56/J$14</f>
        <v>8.7499999999999994E-2</v>
      </c>
      <c r="K57" s="569">
        <f t="shared" si="42"/>
        <v>1.530891197375615E-2</v>
      </c>
    </row>
    <row r="58" spans="1:11" ht="18.75" customHeight="1" x14ac:dyDescent="0.15">
      <c r="A58" s="985" t="s">
        <v>378</v>
      </c>
      <c r="B58" s="546">
        <f>SUM(N41:P41)</f>
        <v>25</v>
      </c>
      <c r="C58" s="546">
        <f>SUM(Q41:R41)</f>
        <v>9</v>
      </c>
      <c r="D58" s="546">
        <f>SUM(S41:V41)</f>
        <v>50</v>
      </c>
      <c r="E58" s="546">
        <f>SUM(W41:Y41)</f>
        <v>14</v>
      </c>
      <c r="F58" s="546">
        <f>SUM(Z41:AA41)</f>
        <v>31</v>
      </c>
      <c r="G58" s="546">
        <f>SUM(AB41:AD41)</f>
        <v>42</v>
      </c>
      <c r="H58" s="546">
        <f>SUM(AE41)</f>
        <v>63</v>
      </c>
      <c r="I58" s="546">
        <f>SUM(AF41)</f>
        <v>41</v>
      </c>
      <c r="J58" s="546">
        <f>SUM(AG41:AH41)</f>
        <v>20</v>
      </c>
      <c r="K58" s="547">
        <f>SUM(B58:J58)</f>
        <v>295</v>
      </c>
    </row>
    <row r="59" spans="1:11" ht="18.75" customHeight="1" x14ac:dyDescent="0.15">
      <c r="A59" s="986"/>
      <c r="B59" s="569">
        <f t="shared" ref="B59:I59" si="43">B58/B$14</f>
        <v>0.14534883720930233</v>
      </c>
      <c r="C59" s="569">
        <f t="shared" si="43"/>
        <v>6.6176470588235295E-2</v>
      </c>
      <c r="D59" s="569">
        <f t="shared" si="43"/>
        <v>0.21459227467811159</v>
      </c>
      <c r="E59" s="569">
        <f t="shared" si="43"/>
        <v>7.6923076923076927E-2</v>
      </c>
      <c r="F59" s="569">
        <f t="shared" si="43"/>
        <v>0.16666666666666666</v>
      </c>
      <c r="G59" s="569">
        <f t="shared" si="43"/>
        <v>0.19178082191780821</v>
      </c>
      <c r="H59" s="569">
        <f t="shared" si="43"/>
        <v>0.18260869565217391</v>
      </c>
      <c r="I59" s="569">
        <f t="shared" si="43"/>
        <v>0.20918367346938777</v>
      </c>
      <c r="J59" s="569">
        <f t="shared" ref="J59:K59" si="44">J58/J$14</f>
        <v>0.125</v>
      </c>
      <c r="K59" s="569">
        <f t="shared" si="44"/>
        <v>0.16129032258064516</v>
      </c>
    </row>
    <row r="60" spans="1:11" ht="18.75" customHeight="1" x14ac:dyDescent="0.15">
      <c r="A60" s="985" t="s">
        <v>379</v>
      </c>
      <c r="B60" s="546">
        <f>SUM(N42:P42)</f>
        <v>19</v>
      </c>
      <c r="C60" s="546">
        <f>SUM(Q42:R42)</f>
        <v>15</v>
      </c>
      <c r="D60" s="546">
        <f>SUM(S42:V42)</f>
        <v>20</v>
      </c>
      <c r="E60" s="546">
        <f>SUM(W42:Y42)</f>
        <v>9</v>
      </c>
      <c r="F60" s="546">
        <f>SUM(Z42:AA42)</f>
        <v>6</v>
      </c>
      <c r="G60" s="546">
        <f>SUM(AB42:AD42)</f>
        <v>15</v>
      </c>
      <c r="H60" s="546">
        <f>SUM(AE42)</f>
        <v>40</v>
      </c>
      <c r="I60" s="546">
        <f>SUM(AF42)</f>
        <v>37</v>
      </c>
      <c r="J60" s="546">
        <f>SUM(AG42:AH42)</f>
        <v>12</v>
      </c>
      <c r="K60" s="547">
        <f>SUM(B60:J60)</f>
        <v>173</v>
      </c>
    </row>
    <row r="61" spans="1:11" ht="18.75" customHeight="1" x14ac:dyDescent="0.15">
      <c r="A61" s="986"/>
      <c r="B61" s="569">
        <f t="shared" ref="B61:I61" si="45">B60/B$14</f>
        <v>0.11046511627906977</v>
      </c>
      <c r="C61" s="569">
        <f t="shared" si="45"/>
        <v>0.11029411764705882</v>
      </c>
      <c r="D61" s="569">
        <f t="shared" si="45"/>
        <v>8.5836909871244635E-2</v>
      </c>
      <c r="E61" s="569">
        <f t="shared" si="45"/>
        <v>4.9450549450549448E-2</v>
      </c>
      <c r="F61" s="569">
        <f t="shared" si="45"/>
        <v>3.2258064516129031E-2</v>
      </c>
      <c r="G61" s="569">
        <f t="shared" si="45"/>
        <v>6.8493150684931503E-2</v>
      </c>
      <c r="H61" s="569">
        <f t="shared" si="45"/>
        <v>0.11594202898550725</v>
      </c>
      <c r="I61" s="569">
        <f t="shared" si="45"/>
        <v>0.18877551020408162</v>
      </c>
      <c r="J61" s="569">
        <f t="shared" ref="J61:K61" si="46">J60/J$14</f>
        <v>7.4999999999999997E-2</v>
      </c>
      <c r="K61" s="569">
        <f t="shared" si="46"/>
        <v>9.458720612356479E-2</v>
      </c>
    </row>
    <row r="62" spans="1:11" ht="18.75" customHeight="1" x14ac:dyDescent="0.15">
      <c r="A62" s="985" t="s">
        <v>53</v>
      </c>
      <c r="B62" s="546">
        <f>SUM(N43:P43)</f>
        <v>6</v>
      </c>
      <c r="C62" s="546">
        <f>SUM(Q43:R43)</f>
        <v>2</v>
      </c>
      <c r="D62" s="546">
        <f>SUM(S43:V43)</f>
        <v>3</v>
      </c>
      <c r="E62" s="546">
        <f>SUM(W43:Y43)</f>
        <v>7</v>
      </c>
      <c r="F62" s="546">
        <f>SUM(Z43:AA43)</f>
        <v>4</v>
      </c>
      <c r="G62" s="546">
        <f>SUM(AB43:AD43)</f>
        <v>8</v>
      </c>
      <c r="H62" s="546">
        <f>SUM(AE43)</f>
        <v>13</v>
      </c>
      <c r="I62" s="546">
        <f>SUM(AF43)</f>
        <v>4</v>
      </c>
      <c r="J62" s="546">
        <f>SUM(AG43:AH43)</f>
        <v>3</v>
      </c>
      <c r="K62" s="547">
        <f>SUM(B62:J62)</f>
        <v>50</v>
      </c>
    </row>
    <row r="63" spans="1:11" ht="18.75" customHeight="1" x14ac:dyDescent="0.15">
      <c r="A63" s="986"/>
      <c r="B63" s="569">
        <f t="shared" ref="B63:I63" si="47">B62/B$14</f>
        <v>3.4883720930232558E-2</v>
      </c>
      <c r="C63" s="569">
        <f t="shared" si="47"/>
        <v>1.4705882352941176E-2</v>
      </c>
      <c r="D63" s="569">
        <f t="shared" si="47"/>
        <v>1.2875536480686695E-2</v>
      </c>
      <c r="E63" s="569">
        <f t="shared" si="47"/>
        <v>3.8461538461538464E-2</v>
      </c>
      <c r="F63" s="569">
        <f t="shared" si="47"/>
        <v>2.1505376344086023E-2</v>
      </c>
      <c r="G63" s="569">
        <f t="shared" si="47"/>
        <v>3.6529680365296802E-2</v>
      </c>
      <c r="H63" s="569">
        <f t="shared" si="47"/>
        <v>3.7681159420289857E-2</v>
      </c>
      <c r="I63" s="569">
        <f t="shared" si="47"/>
        <v>2.0408163265306121E-2</v>
      </c>
      <c r="J63" s="569">
        <f t="shared" ref="J63:K63" si="48">J62/J$14</f>
        <v>1.8749999999999999E-2</v>
      </c>
      <c r="K63" s="569">
        <f t="shared" si="48"/>
        <v>2.7337342810278841E-2</v>
      </c>
    </row>
    <row r="64" spans="1:11" x14ac:dyDescent="0.15">
      <c r="B64" s="22"/>
      <c r="C64" s="22"/>
      <c r="D64" s="22"/>
      <c r="E64" s="22"/>
      <c r="F64" s="22"/>
      <c r="G64" s="22"/>
      <c r="H64" s="22"/>
      <c r="I64" s="22"/>
    </row>
    <row r="65" spans="1:10" x14ac:dyDescent="0.15">
      <c r="A65" s="632"/>
      <c r="B65" s="632"/>
      <c r="C65" s="632"/>
      <c r="D65" s="632"/>
      <c r="E65" s="632"/>
      <c r="F65" s="632"/>
      <c r="G65" s="632"/>
      <c r="H65" s="632"/>
      <c r="I65" s="632"/>
      <c r="J65" s="136"/>
    </row>
    <row r="66" spans="1:10" x14ac:dyDescent="0.15">
      <c r="A66" s="633"/>
      <c r="B66" s="180"/>
      <c r="C66" s="180"/>
      <c r="D66" s="180"/>
      <c r="E66" s="180"/>
      <c r="F66" s="180"/>
      <c r="G66" s="180"/>
      <c r="H66" s="180"/>
      <c r="I66" s="180"/>
      <c r="J66" s="136"/>
    </row>
    <row r="67" spans="1:10" x14ac:dyDescent="0.15">
      <c r="A67" s="136"/>
      <c r="B67" s="136"/>
      <c r="C67" s="136"/>
      <c r="D67" s="136"/>
      <c r="E67" s="136"/>
      <c r="F67" s="136"/>
      <c r="G67" s="136"/>
      <c r="H67" s="136"/>
      <c r="I67" s="136"/>
      <c r="J67" s="136"/>
    </row>
    <row r="68" spans="1:10" x14ac:dyDescent="0.15">
      <c r="A68" s="136"/>
      <c r="B68" s="136"/>
      <c r="C68" s="136"/>
      <c r="D68" s="136"/>
      <c r="E68" s="136"/>
      <c r="F68" s="136"/>
      <c r="G68" s="136"/>
      <c r="H68" s="136"/>
      <c r="I68" s="136"/>
      <c r="J68" s="136"/>
    </row>
    <row r="69" spans="1:10" x14ac:dyDescent="0.15">
      <c r="A69" s="136"/>
      <c r="B69" s="136"/>
      <c r="C69" s="136"/>
      <c r="D69" s="136"/>
      <c r="E69" s="136"/>
      <c r="F69" s="136"/>
      <c r="G69" s="136"/>
      <c r="H69" s="136"/>
      <c r="I69" s="136"/>
      <c r="J69" s="136"/>
    </row>
  </sheetData>
  <mergeCells count="25">
    <mergeCell ref="A50:A51"/>
    <mergeCell ref="A52:A53"/>
    <mergeCell ref="A54:A55"/>
    <mergeCell ref="A56:A57"/>
    <mergeCell ref="A62:A63"/>
    <mergeCell ref="A58:A59"/>
    <mergeCell ref="A60:A61"/>
    <mergeCell ref="A48:A49"/>
    <mergeCell ref="A26:A27"/>
    <mergeCell ref="A28:A29"/>
    <mergeCell ref="A30:A31"/>
    <mergeCell ref="A32:A33"/>
    <mergeCell ref="A34:A35"/>
    <mergeCell ref="A36:A37"/>
    <mergeCell ref="A38:A39"/>
    <mergeCell ref="A40:A41"/>
    <mergeCell ref="A42:A43"/>
    <mergeCell ref="A44:A45"/>
    <mergeCell ref="A46:A47"/>
    <mergeCell ref="A24:A25"/>
    <mergeCell ref="A4:A5"/>
    <mergeCell ref="A6:A7"/>
    <mergeCell ref="A8:A9"/>
    <mergeCell ref="A14:A15"/>
    <mergeCell ref="A16:A17"/>
  </mergeCells>
  <phoneticPr fontId="2"/>
  <pageMargins left="0.70866141732283472" right="0.70866141732283472" top="0.74803149606299213" bottom="0.74803149606299213" header="0.31496062992125984" footer="0.31496062992125984"/>
  <pageSetup paperSize="9" scale="63" orientation="portrait" r:id="rId1"/>
  <rowBreaks count="1" manualBreakCount="1">
    <brk id="20"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57346" r:id="rId4" name="Button 2">
              <controlPr defaultSize="0" print="0" autoFill="0" autoPict="0" macro="[0]!データ削除_退院阻害入院時住所地">
                <anchor moveWithCells="1" sizeWithCells="1">
                  <from>
                    <xdr:col>12</xdr:col>
                    <xdr:colOff>123825</xdr:colOff>
                    <xdr:row>45</xdr:row>
                    <xdr:rowOff>209550</xdr:rowOff>
                  </from>
                  <to>
                    <xdr:col>15</xdr:col>
                    <xdr:colOff>333375</xdr:colOff>
                    <xdr:row>48</xdr:row>
                    <xdr:rowOff>104775</xdr:rowOff>
                  </to>
                </anchor>
              </controlPr>
            </control>
          </mc:Choice>
        </mc:AlternateContent>
      </controls>
    </mc:Choice>
  </mc:AlternateContent>
  <tableParts count="3">
    <tablePart r:id="rId5"/>
    <tablePart r:id="rId6"/>
    <tablePart r:id="rId7"/>
  </tableParts>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4">
    <tabColor theme="5" tint="0.39997558519241921"/>
    <pageSetUpPr fitToPage="1"/>
  </sheetPr>
  <dimension ref="A1:AX55"/>
  <sheetViews>
    <sheetView showGridLines="0" view="pageBreakPreview" zoomScale="80" zoomScaleNormal="80" zoomScaleSheetLayoutView="80" workbookViewId="0">
      <selection activeCell="L1" sqref="L1:AV1048576"/>
    </sheetView>
  </sheetViews>
  <sheetFormatPr defaultColWidth="13.75" defaultRowHeight="18.75" x14ac:dyDescent="0.15"/>
  <cols>
    <col min="1" max="1" width="10.5" style="537" customWidth="1"/>
    <col min="2" max="11" width="8.75" style="537" customWidth="1"/>
    <col min="12" max="13" width="7.25" style="537" hidden="1" customWidth="1"/>
    <col min="14" max="14" width="10.375" style="537" hidden="1" customWidth="1"/>
    <col min="15" max="15" width="11" style="537" hidden="1" customWidth="1"/>
    <col min="16" max="17" width="12.875" style="537" hidden="1" customWidth="1"/>
    <col min="18" max="18" width="9.125" style="537" hidden="1" customWidth="1"/>
    <col min="19" max="19" width="12.875" style="537" hidden="1" customWidth="1"/>
    <col min="20" max="20" width="14.75" style="537" hidden="1" customWidth="1"/>
    <col min="21" max="21" width="16.625" style="537" hidden="1" customWidth="1"/>
    <col min="22" max="23" width="12.875" style="537" hidden="1" customWidth="1"/>
    <col min="24" max="24" width="16.625" style="537" hidden="1" customWidth="1"/>
    <col min="25" max="25" width="14.75" style="537" hidden="1" customWidth="1"/>
    <col min="26" max="28" width="12.875" style="537" hidden="1" customWidth="1"/>
    <col min="29" max="32" width="11" style="537" hidden="1" customWidth="1"/>
    <col min="33" max="33" width="9.125" style="537" hidden="1" customWidth="1"/>
    <col min="34" max="34" width="11" style="537" hidden="1" customWidth="1"/>
    <col min="35" max="35" width="14.75" style="537" hidden="1" customWidth="1"/>
    <col min="36" max="36" width="6.625" style="537" hidden="1" customWidth="1"/>
    <col min="37" max="48" width="6.375" style="537" hidden="1" customWidth="1"/>
    <col min="49" max="49" width="13.75" style="537" customWidth="1"/>
    <col min="50" max="16384" width="13.75" style="537"/>
  </cols>
  <sheetData>
    <row r="1" spans="1:47" s="3" customFormat="1" ht="19.5" x14ac:dyDescent="0.15">
      <c r="A1" s="2" t="s">
        <v>472</v>
      </c>
    </row>
    <row r="2" spans="1:47" x14ac:dyDescent="0.15">
      <c r="A2" s="4"/>
    </row>
    <row r="3" spans="1:47" ht="19.5" thickBot="1" x14ac:dyDescent="0.2">
      <c r="A3" s="1002" t="s">
        <v>473</v>
      </c>
      <c r="B3" s="1004" t="s">
        <v>474</v>
      </c>
      <c r="C3" s="1005"/>
      <c r="D3" s="1005"/>
      <c r="E3" s="1005"/>
      <c r="F3" s="1005"/>
      <c r="G3" s="1005"/>
      <c r="H3" s="1005"/>
      <c r="I3" s="1005"/>
      <c r="J3" s="1005"/>
      <c r="K3" s="1006"/>
      <c r="AL3" s="587" t="s">
        <v>475</v>
      </c>
      <c r="AM3" s="587"/>
    </row>
    <row r="4" spans="1:47" ht="34.5" thickTop="1" thickBot="1" x14ac:dyDescent="0.2">
      <c r="A4" s="1003"/>
      <c r="B4" s="588" t="s">
        <v>387</v>
      </c>
      <c r="C4" s="588" t="s">
        <v>388</v>
      </c>
      <c r="D4" s="588" t="s">
        <v>389</v>
      </c>
      <c r="E4" s="588" t="s">
        <v>390</v>
      </c>
      <c r="F4" s="588" t="s">
        <v>391</v>
      </c>
      <c r="G4" s="588" t="s">
        <v>392</v>
      </c>
      <c r="H4" s="588" t="s">
        <v>393</v>
      </c>
      <c r="I4" s="588" t="s">
        <v>394</v>
      </c>
      <c r="J4" s="589" t="s">
        <v>465</v>
      </c>
      <c r="K4" s="588" t="s">
        <v>62</v>
      </c>
      <c r="L4" s="42"/>
      <c r="M4" s="42"/>
      <c r="N4" s="729" t="s">
        <v>373</v>
      </c>
      <c r="O4" s="635" t="s">
        <v>395</v>
      </c>
      <c r="P4" s="635" t="s">
        <v>396</v>
      </c>
      <c r="Q4" s="635" t="s">
        <v>397</v>
      </c>
      <c r="R4" s="635" t="s">
        <v>398</v>
      </c>
      <c r="S4" s="635" t="s">
        <v>399</v>
      </c>
      <c r="T4" s="635" t="s">
        <v>400</v>
      </c>
      <c r="U4" s="635" t="s">
        <v>401</v>
      </c>
      <c r="V4" s="635" t="s">
        <v>402</v>
      </c>
      <c r="W4" s="635" t="s">
        <v>403</v>
      </c>
      <c r="X4" s="635" t="s">
        <v>404</v>
      </c>
      <c r="Y4" s="635" t="s">
        <v>565</v>
      </c>
      <c r="Z4" s="635" t="s">
        <v>566</v>
      </c>
      <c r="AA4" s="635" t="s">
        <v>567</v>
      </c>
      <c r="AB4" s="635" t="s">
        <v>568</v>
      </c>
      <c r="AC4" s="635" t="s">
        <v>569</v>
      </c>
      <c r="AD4" s="635" t="s">
        <v>570</v>
      </c>
      <c r="AE4" s="635" t="s">
        <v>571</v>
      </c>
      <c r="AF4" s="635" t="s">
        <v>572</v>
      </c>
      <c r="AG4" s="635" t="s">
        <v>573</v>
      </c>
      <c r="AH4" s="635" t="s">
        <v>620</v>
      </c>
      <c r="AI4" s="635" t="s">
        <v>621</v>
      </c>
      <c r="AJ4" s="42"/>
      <c r="AK4" s="42"/>
      <c r="AL4" s="42" t="s">
        <v>476</v>
      </c>
      <c r="AM4" s="42" t="s">
        <v>477</v>
      </c>
      <c r="AN4" s="42" t="s">
        <v>478</v>
      </c>
      <c r="AO4" s="42" t="s">
        <v>479</v>
      </c>
      <c r="AP4" s="42" t="s">
        <v>480</v>
      </c>
      <c r="AQ4" s="42" t="s">
        <v>481</v>
      </c>
      <c r="AR4" s="42" t="s">
        <v>482</v>
      </c>
      <c r="AS4" s="42" t="s">
        <v>483</v>
      </c>
      <c r="AT4" s="42" t="s">
        <v>484</v>
      </c>
      <c r="AU4" s="42"/>
    </row>
    <row r="5" spans="1:47" s="21" customFormat="1" ht="19.5" thickTop="1" x14ac:dyDescent="0.15">
      <c r="A5" s="976" t="s">
        <v>387</v>
      </c>
      <c r="B5" s="590">
        <f t="shared" ref="B5:J5" si="0">SUM(AL5:AL7)</f>
        <v>860</v>
      </c>
      <c r="C5" s="590">
        <f t="shared" si="0"/>
        <v>64</v>
      </c>
      <c r="D5" s="590">
        <f t="shared" si="0"/>
        <v>37</v>
      </c>
      <c r="E5" s="590">
        <f t="shared" si="0"/>
        <v>14</v>
      </c>
      <c r="F5" s="590">
        <f t="shared" si="0"/>
        <v>13</v>
      </c>
      <c r="G5" s="590">
        <f t="shared" si="0"/>
        <v>3</v>
      </c>
      <c r="H5" s="590">
        <f t="shared" si="0"/>
        <v>385</v>
      </c>
      <c r="I5" s="590">
        <f t="shared" si="0"/>
        <v>10</v>
      </c>
      <c r="J5" s="590">
        <f t="shared" si="0"/>
        <v>298</v>
      </c>
      <c r="K5" s="591">
        <f>SUM(B5:J5)</f>
        <v>1684</v>
      </c>
      <c r="L5" s="402"/>
      <c r="M5" s="592"/>
      <c r="N5" s="680" t="s">
        <v>395</v>
      </c>
      <c r="O5" s="636">
        <v>200</v>
      </c>
      <c r="P5" s="636">
        <v>54</v>
      </c>
      <c r="Q5" s="636">
        <v>53</v>
      </c>
      <c r="R5" s="636">
        <v>13</v>
      </c>
      <c r="S5" s="636">
        <v>3</v>
      </c>
      <c r="T5" s="636">
        <v>3</v>
      </c>
      <c r="U5" s="636">
        <v>1</v>
      </c>
      <c r="V5" s="636">
        <v>3</v>
      </c>
      <c r="W5" s="636"/>
      <c r="X5" s="636">
        <v>2</v>
      </c>
      <c r="Y5" s="636"/>
      <c r="Z5" s="636"/>
      <c r="AA5" s="636">
        <v>1</v>
      </c>
      <c r="AB5" s="636">
        <v>1</v>
      </c>
      <c r="AC5" s="636"/>
      <c r="AD5" s="636"/>
      <c r="AE5" s="636">
        <v>1</v>
      </c>
      <c r="AF5" s="636">
        <v>67</v>
      </c>
      <c r="AG5" s="636">
        <v>1</v>
      </c>
      <c r="AH5" s="636">
        <v>121</v>
      </c>
      <c r="AI5" s="636">
        <v>6</v>
      </c>
      <c r="AJ5" s="402"/>
      <c r="AK5" s="377" t="s">
        <v>395</v>
      </c>
      <c r="AL5" s="593">
        <f t="shared" ref="AL5:AL23" si="1">SUM(O5:Q5)</f>
        <v>307</v>
      </c>
      <c r="AM5" s="598">
        <f t="shared" ref="AM5:AM23" si="2">SUM(R5:S5)</f>
        <v>16</v>
      </c>
      <c r="AN5" s="598">
        <f t="shared" ref="AN5:AN23" si="3">SUM(T5:W5)</f>
        <v>7</v>
      </c>
      <c r="AO5" s="598">
        <f t="shared" ref="AO5:AO23" si="4">SUM(X5:Z5)</f>
        <v>2</v>
      </c>
      <c r="AP5" s="598">
        <f t="shared" ref="AP5:AP23" si="5">SUM(AA5:AB5)</f>
        <v>2</v>
      </c>
      <c r="AQ5" s="598">
        <f t="shared" ref="AQ5:AQ23" si="6">SUM(AC5:AE5)</f>
        <v>1</v>
      </c>
      <c r="AR5" s="598">
        <f t="shared" ref="AR5:AR23" si="7">AF5</f>
        <v>67</v>
      </c>
      <c r="AS5" s="598">
        <f t="shared" ref="AS5:AS23" si="8">AG5</f>
        <v>1</v>
      </c>
      <c r="AT5" s="598">
        <f t="shared" ref="AT5:AT23" si="9">SUM(AH5:AI5)</f>
        <v>127</v>
      </c>
      <c r="AU5" s="402"/>
    </row>
    <row r="6" spans="1:47" s="21" customFormat="1" x14ac:dyDescent="0.15">
      <c r="A6" s="994"/>
      <c r="B6" s="594">
        <f>B5/B$21</f>
        <v>0.71192052980132448</v>
      </c>
      <c r="C6" s="594">
        <f t="shared" ref="C6:K6" si="10">C5/C$21</f>
        <v>4.9844236760124609E-2</v>
      </c>
      <c r="D6" s="594">
        <f t="shared" si="10"/>
        <v>2.8793774319066146E-2</v>
      </c>
      <c r="E6" s="594">
        <f t="shared" si="10"/>
        <v>1.2715712988192553E-2</v>
      </c>
      <c r="F6" s="594">
        <f t="shared" si="10"/>
        <v>1.2287334593572778E-2</v>
      </c>
      <c r="G6" s="594">
        <f t="shared" si="10"/>
        <v>9.4369298521547657E-4</v>
      </c>
      <c r="H6" s="594">
        <f t="shared" si="10"/>
        <v>0.12312120243044451</v>
      </c>
      <c r="I6" s="594">
        <f t="shared" si="10"/>
        <v>6.8634179821551134E-3</v>
      </c>
      <c r="J6" s="594">
        <f t="shared" si="10"/>
        <v>0.23047177107501934</v>
      </c>
      <c r="K6" s="594">
        <f t="shared" si="10"/>
        <v>0.11232657417289221</v>
      </c>
      <c r="L6" s="402"/>
      <c r="M6" s="592"/>
      <c r="N6" s="680" t="s">
        <v>396</v>
      </c>
      <c r="O6" s="636">
        <v>50</v>
      </c>
      <c r="P6" s="636">
        <v>281</v>
      </c>
      <c r="Q6" s="636">
        <v>72</v>
      </c>
      <c r="R6" s="636">
        <v>20</v>
      </c>
      <c r="S6" s="636">
        <v>11</v>
      </c>
      <c r="T6" s="636">
        <v>5</v>
      </c>
      <c r="U6" s="636">
        <v>1</v>
      </c>
      <c r="V6" s="636">
        <v>12</v>
      </c>
      <c r="W6" s="636">
        <v>3</v>
      </c>
      <c r="X6" s="636">
        <v>6</v>
      </c>
      <c r="Y6" s="636">
        <v>3</v>
      </c>
      <c r="Z6" s="636"/>
      <c r="AA6" s="636">
        <v>4</v>
      </c>
      <c r="AB6" s="636">
        <v>2</v>
      </c>
      <c r="AC6" s="636"/>
      <c r="AD6" s="636"/>
      <c r="AE6" s="636"/>
      <c r="AF6" s="636">
        <v>248</v>
      </c>
      <c r="AG6" s="636">
        <v>6</v>
      </c>
      <c r="AH6" s="636">
        <v>126</v>
      </c>
      <c r="AI6" s="636"/>
      <c r="AJ6" s="402"/>
      <c r="AK6" s="377" t="s">
        <v>396</v>
      </c>
      <c r="AL6" s="592">
        <f t="shared" si="1"/>
        <v>403</v>
      </c>
      <c r="AM6" s="402">
        <f t="shared" si="2"/>
        <v>31</v>
      </c>
      <c r="AN6" s="402">
        <f t="shared" si="3"/>
        <v>21</v>
      </c>
      <c r="AO6" s="402">
        <f t="shared" si="4"/>
        <v>9</v>
      </c>
      <c r="AP6" s="402">
        <f t="shared" si="5"/>
        <v>6</v>
      </c>
      <c r="AQ6" s="402">
        <f t="shared" si="6"/>
        <v>0</v>
      </c>
      <c r="AR6" s="402">
        <f t="shared" si="7"/>
        <v>248</v>
      </c>
      <c r="AS6" s="402">
        <f t="shared" si="8"/>
        <v>6</v>
      </c>
      <c r="AT6" s="402">
        <f t="shared" si="9"/>
        <v>126</v>
      </c>
      <c r="AU6" s="402"/>
    </row>
    <row r="7" spans="1:47" s="21" customFormat="1" x14ac:dyDescent="0.15">
      <c r="A7" s="976" t="s">
        <v>388</v>
      </c>
      <c r="B7" s="590">
        <f t="shared" ref="B7:J7" si="11">SUM(AL8:AL9)</f>
        <v>207</v>
      </c>
      <c r="C7" s="590">
        <f t="shared" si="11"/>
        <v>1124</v>
      </c>
      <c r="D7" s="590">
        <f t="shared" si="11"/>
        <v>137</v>
      </c>
      <c r="E7" s="590">
        <f t="shared" si="11"/>
        <v>23</v>
      </c>
      <c r="F7" s="590">
        <f t="shared" si="11"/>
        <v>5</v>
      </c>
      <c r="G7" s="590">
        <f t="shared" si="11"/>
        <v>7</v>
      </c>
      <c r="H7" s="590">
        <f t="shared" si="11"/>
        <v>269</v>
      </c>
      <c r="I7" s="590">
        <f t="shared" si="11"/>
        <v>12</v>
      </c>
      <c r="J7" s="590">
        <f t="shared" si="11"/>
        <v>214</v>
      </c>
      <c r="K7" s="591">
        <f>SUM(B7:J7)</f>
        <v>1998</v>
      </c>
      <c r="L7" s="402"/>
      <c r="M7" s="592"/>
      <c r="N7" s="680" t="s">
        <v>397</v>
      </c>
      <c r="O7" s="636">
        <v>14</v>
      </c>
      <c r="P7" s="636">
        <v>19</v>
      </c>
      <c r="Q7" s="636">
        <v>117</v>
      </c>
      <c r="R7" s="636">
        <v>15</v>
      </c>
      <c r="S7" s="636">
        <v>2</v>
      </c>
      <c r="T7" s="636">
        <v>2</v>
      </c>
      <c r="U7" s="636">
        <v>5</v>
      </c>
      <c r="V7" s="636">
        <v>1</v>
      </c>
      <c r="W7" s="636">
        <v>1</v>
      </c>
      <c r="X7" s="636">
        <v>1</v>
      </c>
      <c r="Y7" s="636">
        <v>1</v>
      </c>
      <c r="Z7" s="636">
        <v>1</v>
      </c>
      <c r="AA7" s="636">
        <v>3</v>
      </c>
      <c r="AB7" s="636">
        <v>2</v>
      </c>
      <c r="AC7" s="636"/>
      <c r="AD7" s="636">
        <v>2</v>
      </c>
      <c r="AE7" s="636"/>
      <c r="AF7" s="636">
        <v>70</v>
      </c>
      <c r="AG7" s="636">
        <v>3</v>
      </c>
      <c r="AH7" s="636">
        <v>45</v>
      </c>
      <c r="AI7" s="636"/>
      <c r="AJ7" s="402"/>
      <c r="AK7" s="377" t="s">
        <v>397</v>
      </c>
      <c r="AL7" s="592">
        <f t="shared" si="1"/>
        <v>150</v>
      </c>
      <c r="AM7" s="402">
        <f t="shared" si="2"/>
        <v>17</v>
      </c>
      <c r="AN7" s="402">
        <f t="shared" si="3"/>
        <v>9</v>
      </c>
      <c r="AO7" s="402">
        <f t="shared" si="4"/>
        <v>3</v>
      </c>
      <c r="AP7" s="402">
        <f t="shared" si="5"/>
        <v>5</v>
      </c>
      <c r="AQ7" s="402">
        <f t="shared" si="6"/>
        <v>2</v>
      </c>
      <c r="AR7" s="402">
        <f t="shared" si="7"/>
        <v>70</v>
      </c>
      <c r="AS7" s="402">
        <f t="shared" si="8"/>
        <v>3</v>
      </c>
      <c r="AT7" s="402">
        <f t="shared" si="9"/>
        <v>45</v>
      </c>
      <c r="AU7" s="402"/>
    </row>
    <row r="8" spans="1:47" s="21" customFormat="1" x14ac:dyDescent="0.15">
      <c r="A8" s="994"/>
      <c r="B8" s="594">
        <f>B7/B$21</f>
        <v>0.17135761589403972</v>
      </c>
      <c r="C8" s="594">
        <f t="shared" ref="C8:K8" si="12">C7/C$21</f>
        <v>0.87538940809968846</v>
      </c>
      <c r="D8" s="594">
        <f t="shared" si="12"/>
        <v>0.10661478599221789</v>
      </c>
      <c r="E8" s="594">
        <f t="shared" si="12"/>
        <v>2.0890099909173478E-2</v>
      </c>
      <c r="F8" s="594">
        <f t="shared" si="12"/>
        <v>4.725897920604915E-3</v>
      </c>
      <c r="G8" s="594">
        <f t="shared" si="12"/>
        <v>2.2019502988361119E-3</v>
      </c>
      <c r="H8" s="594">
        <f t="shared" si="12"/>
        <v>8.6024944035817077E-2</v>
      </c>
      <c r="I8" s="594">
        <f t="shared" si="12"/>
        <v>8.2361015785861365E-3</v>
      </c>
      <c r="J8" s="594">
        <f t="shared" si="12"/>
        <v>0.16550657385924208</v>
      </c>
      <c r="K8" s="594">
        <f t="shared" si="12"/>
        <v>0.13327107790821771</v>
      </c>
      <c r="L8" s="402"/>
      <c r="M8" s="592"/>
      <c r="N8" s="680" t="s">
        <v>398</v>
      </c>
      <c r="O8" s="636">
        <v>44</v>
      </c>
      <c r="P8" s="636">
        <v>37</v>
      </c>
      <c r="Q8" s="636">
        <v>77</v>
      </c>
      <c r="R8" s="636">
        <v>502</v>
      </c>
      <c r="S8" s="636">
        <v>223</v>
      </c>
      <c r="T8" s="636">
        <v>43</v>
      </c>
      <c r="U8" s="636">
        <v>11</v>
      </c>
      <c r="V8" s="636">
        <v>23</v>
      </c>
      <c r="W8" s="636">
        <v>16</v>
      </c>
      <c r="X8" s="636">
        <v>13</v>
      </c>
      <c r="Y8" s="636">
        <v>3</v>
      </c>
      <c r="Z8" s="636">
        <v>1</v>
      </c>
      <c r="AA8" s="636">
        <v>2</v>
      </c>
      <c r="AB8" s="636">
        <v>2</v>
      </c>
      <c r="AC8" s="636">
        <v>2</v>
      </c>
      <c r="AD8" s="636">
        <v>1</v>
      </c>
      <c r="AE8" s="636">
        <v>3</v>
      </c>
      <c r="AF8" s="636">
        <v>190</v>
      </c>
      <c r="AG8" s="636">
        <v>12</v>
      </c>
      <c r="AH8" s="636">
        <v>144</v>
      </c>
      <c r="AI8" s="636">
        <v>1</v>
      </c>
      <c r="AJ8" s="402"/>
      <c r="AK8" s="377" t="s">
        <v>398</v>
      </c>
      <c r="AL8" s="592">
        <f t="shared" si="1"/>
        <v>158</v>
      </c>
      <c r="AM8" s="402">
        <f t="shared" si="2"/>
        <v>725</v>
      </c>
      <c r="AN8" s="402">
        <f t="shared" si="3"/>
        <v>93</v>
      </c>
      <c r="AO8" s="402">
        <f t="shared" si="4"/>
        <v>17</v>
      </c>
      <c r="AP8" s="402">
        <f t="shared" si="5"/>
        <v>4</v>
      </c>
      <c r="AQ8" s="402">
        <f t="shared" si="6"/>
        <v>6</v>
      </c>
      <c r="AR8" s="402">
        <f t="shared" si="7"/>
        <v>190</v>
      </c>
      <c r="AS8" s="402">
        <f t="shared" si="8"/>
        <v>12</v>
      </c>
      <c r="AT8" s="402">
        <f t="shared" si="9"/>
        <v>145</v>
      </c>
      <c r="AU8" s="402"/>
    </row>
    <row r="9" spans="1:47" s="21" customFormat="1" x14ac:dyDescent="0.15">
      <c r="A9" s="976" t="s">
        <v>389</v>
      </c>
      <c r="B9" s="590">
        <f t="shared" ref="B9:J9" si="13">SUM(AL10:AL13)</f>
        <v>40</v>
      </c>
      <c r="C9" s="590">
        <f t="shared" si="13"/>
        <v>41</v>
      </c>
      <c r="D9" s="590">
        <f t="shared" si="13"/>
        <v>877</v>
      </c>
      <c r="E9" s="590">
        <f t="shared" si="13"/>
        <v>49</v>
      </c>
      <c r="F9" s="590">
        <f t="shared" si="13"/>
        <v>12</v>
      </c>
      <c r="G9" s="590">
        <f t="shared" si="13"/>
        <v>13</v>
      </c>
      <c r="H9" s="590">
        <f t="shared" si="13"/>
        <v>161</v>
      </c>
      <c r="I9" s="590">
        <f t="shared" si="13"/>
        <v>10</v>
      </c>
      <c r="J9" s="590">
        <f t="shared" si="13"/>
        <v>136</v>
      </c>
      <c r="K9" s="591">
        <f>SUM(B9:J9)</f>
        <v>1339</v>
      </c>
      <c r="L9" s="402"/>
      <c r="M9" s="592"/>
      <c r="N9" s="680" t="s">
        <v>399</v>
      </c>
      <c r="O9" s="636">
        <v>12</v>
      </c>
      <c r="P9" s="636">
        <v>9</v>
      </c>
      <c r="Q9" s="636">
        <v>28</v>
      </c>
      <c r="R9" s="636">
        <v>104</v>
      </c>
      <c r="S9" s="636">
        <v>295</v>
      </c>
      <c r="T9" s="636">
        <v>16</v>
      </c>
      <c r="U9" s="636">
        <v>14</v>
      </c>
      <c r="V9" s="636">
        <v>7</v>
      </c>
      <c r="W9" s="636">
        <v>7</v>
      </c>
      <c r="X9" s="636">
        <v>4</v>
      </c>
      <c r="Y9" s="636">
        <v>1</v>
      </c>
      <c r="Z9" s="636">
        <v>1</v>
      </c>
      <c r="AA9" s="636">
        <v>1</v>
      </c>
      <c r="AB9" s="636"/>
      <c r="AC9" s="636">
        <v>1</v>
      </c>
      <c r="AD9" s="636"/>
      <c r="AE9" s="636"/>
      <c r="AF9" s="636">
        <v>79</v>
      </c>
      <c r="AG9" s="636"/>
      <c r="AH9" s="636">
        <v>67</v>
      </c>
      <c r="AI9" s="636">
        <v>2</v>
      </c>
      <c r="AJ9" s="402"/>
      <c r="AK9" s="377" t="s">
        <v>399</v>
      </c>
      <c r="AL9" s="592">
        <f t="shared" si="1"/>
        <v>49</v>
      </c>
      <c r="AM9" s="402">
        <f t="shared" si="2"/>
        <v>399</v>
      </c>
      <c r="AN9" s="402">
        <f t="shared" si="3"/>
        <v>44</v>
      </c>
      <c r="AO9" s="402">
        <f t="shared" si="4"/>
        <v>6</v>
      </c>
      <c r="AP9" s="402">
        <f t="shared" si="5"/>
        <v>1</v>
      </c>
      <c r="AQ9" s="402">
        <f t="shared" si="6"/>
        <v>1</v>
      </c>
      <c r="AR9" s="402">
        <f t="shared" si="7"/>
        <v>79</v>
      </c>
      <c r="AS9" s="402">
        <f t="shared" si="8"/>
        <v>0</v>
      </c>
      <c r="AT9" s="402">
        <f t="shared" si="9"/>
        <v>69</v>
      </c>
      <c r="AU9" s="402"/>
    </row>
    <row r="10" spans="1:47" s="21" customFormat="1" x14ac:dyDescent="0.15">
      <c r="A10" s="994"/>
      <c r="B10" s="594">
        <f>B9/B$21</f>
        <v>3.3112582781456956E-2</v>
      </c>
      <c r="C10" s="594">
        <f t="shared" ref="C10:K10" si="14">C9/C$21</f>
        <v>3.1931464174454825E-2</v>
      </c>
      <c r="D10" s="594">
        <f t="shared" si="14"/>
        <v>0.68249027237354087</v>
      </c>
      <c r="E10" s="594">
        <f t="shared" si="14"/>
        <v>4.4504995458673931E-2</v>
      </c>
      <c r="F10" s="594">
        <f t="shared" si="14"/>
        <v>1.1342155009451797E-2</v>
      </c>
      <c r="G10" s="594">
        <f t="shared" si="14"/>
        <v>4.0893362692670651E-3</v>
      </c>
      <c r="H10" s="594">
        <f t="shared" si="14"/>
        <v>5.1487048289094978E-2</v>
      </c>
      <c r="I10" s="594">
        <f t="shared" si="14"/>
        <v>6.8634179821551134E-3</v>
      </c>
      <c r="J10" s="594">
        <f t="shared" si="14"/>
        <v>0.10518174787316319</v>
      </c>
      <c r="K10" s="594">
        <f t="shared" si="14"/>
        <v>8.931430096051228E-2</v>
      </c>
      <c r="L10" s="402"/>
      <c r="M10" s="592"/>
      <c r="N10" s="680" t="s">
        <v>400</v>
      </c>
      <c r="O10" s="636">
        <v>7</v>
      </c>
      <c r="P10" s="636">
        <v>16</v>
      </c>
      <c r="Q10" s="636">
        <v>10</v>
      </c>
      <c r="R10" s="636">
        <v>12</v>
      </c>
      <c r="S10" s="636">
        <v>20</v>
      </c>
      <c r="T10" s="636">
        <v>270</v>
      </c>
      <c r="U10" s="636">
        <v>60</v>
      </c>
      <c r="V10" s="636">
        <v>49</v>
      </c>
      <c r="W10" s="636">
        <v>50</v>
      </c>
      <c r="X10" s="636">
        <v>21</v>
      </c>
      <c r="Y10" s="636">
        <v>6</v>
      </c>
      <c r="Z10" s="636">
        <v>2</v>
      </c>
      <c r="AA10" s="636">
        <v>2</v>
      </c>
      <c r="AB10" s="636">
        <v>8</v>
      </c>
      <c r="AC10" s="636">
        <v>4</v>
      </c>
      <c r="AD10" s="636">
        <v>1</v>
      </c>
      <c r="AE10" s="636">
        <v>5</v>
      </c>
      <c r="AF10" s="636">
        <v>72</v>
      </c>
      <c r="AG10" s="636">
        <v>9</v>
      </c>
      <c r="AH10" s="636">
        <v>78</v>
      </c>
      <c r="AI10" s="636">
        <v>2</v>
      </c>
      <c r="AJ10" s="402"/>
      <c r="AK10" s="377" t="s">
        <v>400</v>
      </c>
      <c r="AL10" s="592">
        <f t="shared" si="1"/>
        <v>33</v>
      </c>
      <c r="AM10" s="402">
        <f t="shared" si="2"/>
        <v>32</v>
      </c>
      <c r="AN10" s="402">
        <f t="shared" si="3"/>
        <v>429</v>
      </c>
      <c r="AO10" s="402">
        <f t="shared" si="4"/>
        <v>29</v>
      </c>
      <c r="AP10" s="402">
        <f t="shared" si="5"/>
        <v>10</v>
      </c>
      <c r="AQ10" s="402">
        <f t="shared" si="6"/>
        <v>10</v>
      </c>
      <c r="AR10" s="402">
        <f t="shared" si="7"/>
        <v>72</v>
      </c>
      <c r="AS10" s="402">
        <f t="shared" si="8"/>
        <v>9</v>
      </c>
      <c r="AT10" s="402">
        <f t="shared" si="9"/>
        <v>80</v>
      </c>
      <c r="AU10" s="402"/>
    </row>
    <row r="11" spans="1:47" s="21" customFormat="1" x14ac:dyDescent="0.15">
      <c r="A11" s="976" t="s">
        <v>390</v>
      </c>
      <c r="B11" s="590">
        <f t="shared" ref="B11:J11" si="15">SUM(AL14:AL16)</f>
        <v>16</v>
      </c>
      <c r="C11" s="590">
        <f t="shared" si="15"/>
        <v>5</v>
      </c>
      <c r="D11" s="590">
        <f t="shared" si="15"/>
        <v>58</v>
      </c>
      <c r="E11" s="590">
        <f t="shared" si="15"/>
        <v>738</v>
      </c>
      <c r="F11" s="590">
        <f t="shared" si="15"/>
        <v>42</v>
      </c>
      <c r="G11" s="590">
        <f t="shared" si="15"/>
        <v>8</v>
      </c>
      <c r="H11" s="590">
        <f t="shared" si="15"/>
        <v>345</v>
      </c>
      <c r="I11" s="590">
        <f t="shared" si="15"/>
        <v>14</v>
      </c>
      <c r="J11" s="590">
        <f t="shared" si="15"/>
        <v>48</v>
      </c>
      <c r="K11" s="591">
        <f>SUM(B11:J11)</f>
        <v>1274</v>
      </c>
      <c r="L11" s="402"/>
      <c r="M11" s="592"/>
      <c r="N11" s="680" t="s">
        <v>401</v>
      </c>
      <c r="O11" s="636">
        <v>1</v>
      </c>
      <c r="P11" s="636"/>
      <c r="Q11" s="636">
        <v>1</v>
      </c>
      <c r="R11" s="636"/>
      <c r="S11" s="636">
        <v>3</v>
      </c>
      <c r="T11" s="636">
        <v>21</v>
      </c>
      <c r="U11" s="636">
        <v>94</v>
      </c>
      <c r="V11" s="636">
        <v>25</v>
      </c>
      <c r="W11" s="636">
        <v>43</v>
      </c>
      <c r="X11" s="636">
        <v>7</v>
      </c>
      <c r="Y11" s="636">
        <v>1</v>
      </c>
      <c r="Z11" s="636"/>
      <c r="AA11" s="636"/>
      <c r="AB11" s="636"/>
      <c r="AC11" s="636"/>
      <c r="AD11" s="636">
        <v>2</v>
      </c>
      <c r="AE11" s="636">
        <v>1</v>
      </c>
      <c r="AF11" s="636">
        <v>17</v>
      </c>
      <c r="AG11" s="636">
        <v>1</v>
      </c>
      <c r="AH11" s="636">
        <v>9</v>
      </c>
      <c r="AI11" s="636">
        <v>1</v>
      </c>
      <c r="AJ11" s="402"/>
      <c r="AK11" s="377" t="s">
        <v>401</v>
      </c>
      <c r="AL11" s="592">
        <f t="shared" si="1"/>
        <v>2</v>
      </c>
      <c r="AM11" s="402">
        <f t="shared" si="2"/>
        <v>3</v>
      </c>
      <c r="AN11" s="402">
        <f t="shared" si="3"/>
        <v>183</v>
      </c>
      <c r="AO11" s="402">
        <f t="shared" si="4"/>
        <v>8</v>
      </c>
      <c r="AP11" s="402">
        <f t="shared" si="5"/>
        <v>0</v>
      </c>
      <c r="AQ11" s="402">
        <f t="shared" si="6"/>
        <v>3</v>
      </c>
      <c r="AR11" s="402">
        <f t="shared" si="7"/>
        <v>17</v>
      </c>
      <c r="AS11" s="402">
        <f t="shared" si="8"/>
        <v>1</v>
      </c>
      <c r="AT11" s="402">
        <f t="shared" si="9"/>
        <v>10</v>
      </c>
      <c r="AU11" s="402"/>
    </row>
    <row r="12" spans="1:47" s="21" customFormat="1" x14ac:dyDescent="0.15">
      <c r="A12" s="994"/>
      <c r="B12" s="594">
        <f>B11/B$21</f>
        <v>1.3245033112582781E-2</v>
      </c>
      <c r="C12" s="594">
        <f t="shared" ref="C12:K12" si="16">C11/C$21</f>
        <v>3.8940809968847352E-3</v>
      </c>
      <c r="D12" s="594">
        <f t="shared" si="16"/>
        <v>4.5136186770428015E-2</v>
      </c>
      <c r="E12" s="594">
        <f t="shared" si="16"/>
        <v>0.67029972752043598</v>
      </c>
      <c r="F12" s="594">
        <f t="shared" si="16"/>
        <v>3.9697542533081283E-2</v>
      </c>
      <c r="G12" s="594">
        <f t="shared" si="16"/>
        <v>2.5165146272412707E-3</v>
      </c>
      <c r="H12" s="594">
        <f t="shared" si="16"/>
        <v>0.11032938919091781</v>
      </c>
      <c r="I12" s="594">
        <f t="shared" si="16"/>
        <v>9.6087851750171586E-3</v>
      </c>
      <c r="J12" s="594">
        <f t="shared" si="16"/>
        <v>3.7122969837587005E-2</v>
      </c>
      <c r="K12" s="594">
        <f t="shared" si="16"/>
        <v>8.4978655282817506E-2</v>
      </c>
      <c r="L12" s="402"/>
      <c r="M12" s="592"/>
      <c r="N12" s="680" t="s">
        <v>402</v>
      </c>
      <c r="O12" s="636">
        <v>1</v>
      </c>
      <c r="P12" s="636">
        <v>2</v>
      </c>
      <c r="Q12" s="636">
        <v>2</v>
      </c>
      <c r="R12" s="636">
        <v>1</v>
      </c>
      <c r="S12" s="636">
        <v>1</v>
      </c>
      <c r="T12" s="636">
        <v>6</v>
      </c>
      <c r="U12" s="636">
        <v>10</v>
      </c>
      <c r="V12" s="636">
        <v>124</v>
      </c>
      <c r="W12" s="636">
        <v>5</v>
      </c>
      <c r="X12" s="636">
        <v>3</v>
      </c>
      <c r="Y12" s="636">
        <v>1</v>
      </c>
      <c r="Z12" s="636"/>
      <c r="AA12" s="636">
        <v>2</v>
      </c>
      <c r="AB12" s="636"/>
      <c r="AC12" s="636"/>
      <c r="AD12" s="636"/>
      <c r="AE12" s="636"/>
      <c r="AF12" s="636">
        <v>56</v>
      </c>
      <c r="AG12" s="636"/>
      <c r="AH12" s="636">
        <v>5</v>
      </c>
      <c r="AI12" s="636"/>
      <c r="AJ12" s="402"/>
      <c r="AK12" s="377" t="s">
        <v>402</v>
      </c>
      <c r="AL12" s="592">
        <f t="shared" si="1"/>
        <v>5</v>
      </c>
      <c r="AM12" s="402">
        <f t="shared" si="2"/>
        <v>2</v>
      </c>
      <c r="AN12" s="402">
        <f t="shared" si="3"/>
        <v>145</v>
      </c>
      <c r="AO12" s="402">
        <f t="shared" si="4"/>
        <v>4</v>
      </c>
      <c r="AP12" s="402">
        <f t="shared" si="5"/>
        <v>2</v>
      </c>
      <c r="AQ12" s="402">
        <f t="shared" si="6"/>
        <v>0</v>
      </c>
      <c r="AR12" s="402">
        <f t="shared" si="7"/>
        <v>56</v>
      </c>
      <c r="AS12" s="402">
        <f t="shared" si="8"/>
        <v>0</v>
      </c>
      <c r="AT12" s="402">
        <f t="shared" si="9"/>
        <v>5</v>
      </c>
      <c r="AU12" s="402"/>
    </row>
    <row r="13" spans="1:47" s="21" customFormat="1" x14ac:dyDescent="0.15">
      <c r="A13" s="976" t="s">
        <v>391</v>
      </c>
      <c r="B13" s="590">
        <f t="shared" ref="B13:J13" si="17">SUM(AL17:AL18)</f>
        <v>8</v>
      </c>
      <c r="C13" s="590">
        <f t="shared" si="17"/>
        <v>5</v>
      </c>
      <c r="D13" s="590">
        <f t="shared" si="17"/>
        <v>17</v>
      </c>
      <c r="E13" s="590">
        <f t="shared" si="17"/>
        <v>56</v>
      </c>
      <c r="F13" s="590">
        <f t="shared" si="17"/>
        <v>607</v>
      </c>
      <c r="G13" s="590">
        <f t="shared" si="17"/>
        <v>20</v>
      </c>
      <c r="H13" s="590">
        <f t="shared" si="17"/>
        <v>314</v>
      </c>
      <c r="I13" s="590">
        <f t="shared" si="17"/>
        <v>133</v>
      </c>
      <c r="J13" s="590">
        <f t="shared" si="17"/>
        <v>67</v>
      </c>
      <c r="K13" s="591">
        <f>SUM(B13:J13)</f>
        <v>1227</v>
      </c>
      <c r="L13" s="402"/>
      <c r="M13" s="592"/>
      <c r="N13" s="680" t="s">
        <v>403</v>
      </c>
      <c r="O13" s="636"/>
      <c r="P13" s="636"/>
      <c r="Q13" s="636"/>
      <c r="R13" s="636">
        <v>3</v>
      </c>
      <c r="S13" s="636">
        <v>1</v>
      </c>
      <c r="T13" s="636">
        <v>5</v>
      </c>
      <c r="U13" s="636">
        <v>12</v>
      </c>
      <c r="V13" s="636">
        <v>8</v>
      </c>
      <c r="W13" s="636">
        <v>95</v>
      </c>
      <c r="X13" s="636">
        <v>8</v>
      </c>
      <c r="Y13" s="636"/>
      <c r="Z13" s="636"/>
      <c r="AA13" s="636"/>
      <c r="AB13" s="636"/>
      <c r="AC13" s="636"/>
      <c r="AD13" s="636"/>
      <c r="AE13" s="636"/>
      <c r="AF13" s="636">
        <v>16</v>
      </c>
      <c r="AG13" s="636"/>
      <c r="AH13" s="636">
        <v>41</v>
      </c>
      <c r="AI13" s="636"/>
      <c r="AJ13" s="402"/>
      <c r="AK13" s="377" t="s">
        <v>403</v>
      </c>
      <c r="AL13" s="592">
        <f t="shared" si="1"/>
        <v>0</v>
      </c>
      <c r="AM13" s="402">
        <f t="shared" si="2"/>
        <v>4</v>
      </c>
      <c r="AN13" s="402">
        <f t="shared" si="3"/>
        <v>120</v>
      </c>
      <c r="AO13" s="402">
        <f t="shared" si="4"/>
        <v>8</v>
      </c>
      <c r="AP13" s="402">
        <f t="shared" si="5"/>
        <v>0</v>
      </c>
      <c r="AQ13" s="402">
        <f t="shared" si="6"/>
        <v>0</v>
      </c>
      <c r="AR13" s="402">
        <f t="shared" si="7"/>
        <v>16</v>
      </c>
      <c r="AS13" s="402">
        <f t="shared" si="8"/>
        <v>0</v>
      </c>
      <c r="AT13" s="402">
        <f t="shared" si="9"/>
        <v>41</v>
      </c>
      <c r="AU13" s="402"/>
    </row>
    <row r="14" spans="1:47" s="21" customFormat="1" x14ac:dyDescent="0.15">
      <c r="A14" s="994"/>
      <c r="B14" s="594">
        <f>B13/B$21</f>
        <v>6.6225165562913907E-3</v>
      </c>
      <c r="C14" s="594">
        <f t="shared" ref="C14:K14" si="18">C13/C$21</f>
        <v>3.8940809968847352E-3</v>
      </c>
      <c r="D14" s="594">
        <f t="shared" si="18"/>
        <v>1.3229571984435798E-2</v>
      </c>
      <c r="E14" s="594">
        <f t="shared" si="18"/>
        <v>5.0862851952770211E-2</v>
      </c>
      <c r="F14" s="594">
        <f t="shared" si="18"/>
        <v>0.57372400756143671</v>
      </c>
      <c r="G14" s="594">
        <f t="shared" si="18"/>
        <v>6.2912865681031774E-3</v>
      </c>
      <c r="H14" s="594">
        <f t="shared" si="18"/>
        <v>0.10041573393028462</v>
      </c>
      <c r="I14" s="594">
        <f t="shared" si="18"/>
        <v>9.1283459162663005E-2</v>
      </c>
      <c r="J14" s="594">
        <f t="shared" si="18"/>
        <v>5.1817478731631866E-2</v>
      </c>
      <c r="K14" s="594">
        <f t="shared" si="18"/>
        <v>8.1843649946638203E-2</v>
      </c>
      <c r="L14" s="402"/>
      <c r="M14" s="592"/>
      <c r="N14" s="680" t="s">
        <v>404</v>
      </c>
      <c r="O14" s="636">
        <v>2</v>
      </c>
      <c r="P14" s="636">
        <v>3</v>
      </c>
      <c r="Q14" s="636">
        <v>4</v>
      </c>
      <c r="R14" s="636">
        <v>2</v>
      </c>
      <c r="S14" s="636"/>
      <c r="T14" s="636">
        <v>2</v>
      </c>
      <c r="U14" s="636">
        <v>9</v>
      </c>
      <c r="V14" s="636">
        <v>12</v>
      </c>
      <c r="W14" s="636">
        <v>20</v>
      </c>
      <c r="X14" s="636">
        <v>367</v>
      </c>
      <c r="Y14" s="636">
        <v>28</v>
      </c>
      <c r="Z14" s="636">
        <v>4</v>
      </c>
      <c r="AA14" s="636">
        <v>3</v>
      </c>
      <c r="AB14" s="636">
        <v>2</v>
      </c>
      <c r="AC14" s="636">
        <v>1</v>
      </c>
      <c r="AD14" s="636"/>
      <c r="AE14" s="636"/>
      <c r="AF14" s="636">
        <v>250</v>
      </c>
      <c r="AG14" s="636">
        <v>4</v>
      </c>
      <c r="AH14" s="636">
        <v>22</v>
      </c>
      <c r="AI14" s="636"/>
      <c r="AJ14" s="402"/>
      <c r="AK14" s="377" t="s">
        <v>404</v>
      </c>
      <c r="AL14" s="592">
        <f t="shared" si="1"/>
        <v>9</v>
      </c>
      <c r="AM14" s="402">
        <f t="shared" si="2"/>
        <v>2</v>
      </c>
      <c r="AN14" s="402">
        <f t="shared" si="3"/>
        <v>43</v>
      </c>
      <c r="AO14" s="402">
        <f t="shared" si="4"/>
        <v>399</v>
      </c>
      <c r="AP14" s="402">
        <f t="shared" si="5"/>
        <v>5</v>
      </c>
      <c r="AQ14" s="402">
        <f t="shared" si="6"/>
        <v>1</v>
      </c>
      <c r="AR14" s="402">
        <f t="shared" si="7"/>
        <v>250</v>
      </c>
      <c r="AS14" s="402">
        <f t="shared" si="8"/>
        <v>4</v>
      </c>
      <c r="AT14" s="402">
        <f t="shared" si="9"/>
        <v>22</v>
      </c>
      <c r="AU14" s="402"/>
    </row>
    <row r="15" spans="1:47" s="21" customFormat="1" x14ac:dyDescent="0.15">
      <c r="A15" s="976" t="s">
        <v>392</v>
      </c>
      <c r="B15" s="590">
        <f t="shared" ref="B15:J15" si="19">SUM(AL19:AL21)</f>
        <v>50</v>
      </c>
      <c r="C15" s="590">
        <f t="shared" si="19"/>
        <v>31</v>
      </c>
      <c r="D15" s="590">
        <f t="shared" si="19"/>
        <v>129</v>
      </c>
      <c r="E15" s="590">
        <f t="shared" si="19"/>
        <v>151</v>
      </c>
      <c r="F15" s="590">
        <f t="shared" si="19"/>
        <v>128</v>
      </c>
      <c r="G15" s="590">
        <f t="shared" si="19"/>
        <v>3014</v>
      </c>
      <c r="H15" s="590">
        <f t="shared" si="19"/>
        <v>943</v>
      </c>
      <c r="I15" s="590">
        <f t="shared" si="19"/>
        <v>352</v>
      </c>
      <c r="J15" s="590">
        <f t="shared" si="19"/>
        <v>433</v>
      </c>
      <c r="K15" s="591">
        <f>SUM(B15:J15)</f>
        <v>5231</v>
      </c>
      <c r="L15" s="402"/>
      <c r="M15" s="592"/>
      <c r="N15" s="680" t="s">
        <v>565</v>
      </c>
      <c r="O15" s="636"/>
      <c r="P15" s="636"/>
      <c r="Q15" s="636">
        <v>1</v>
      </c>
      <c r="R15" s="636"/>
      <c r="S15" s="636"/>
      <c r="T15" s="636"/>
      <c r="U15" s="636">
        <v>1</v>
      </c>
      <c r="V15" s="636">
        <v>3</v>
      </c>
      <c r="W15" s="636">
        <v>4</v>
      </c>
      <c r="X15" s="636">
        <v>43</v>
      </c>
      <c r="Y15" s="636">
        <v>196</v>
      </c>
      <c r="Z15" s="636">
        <v>24</v>
      </c>
      <c r="AA15" s="636">
        <v>21</v>
      </c>
      <c r="AB15" s="636">
        <v>2</v>
      </c>
      <c r="AC15" s="636"/>
      <c r="AD15" s="636">
        <v>1</v>
      </c>
      <c r="AE15" s="636">
        <v>1</v>
      </c>
      <c r="AF15" s="636">
        <v>49</v>
      </c>
      <c r="AG15" s="636">
        <v>2</v>
      </c>
      <c r="AH15" s="636">
        <v>10</v>
      </c>
      <c r="AI15" s="636"/>
      <c r="AK15" s="377" t="s">
        <v>565</v>
      </c>
      <c r="AL15" s="402">
        <f t="shared" si="1"/>
        <v>1</v>
      </c>
      <c r="AM15" s="402">
        <f t="shared" si="2"/>
        <v>0</v>
      </c>
      <c r="AN15" s="402">
        <f t="shared" si="3"/>
        <v>8</v>
      </c>
      <c r="AO15" s="402">
        <f t="shared" si="4"/>
        <v>263</v>
      </c>
      <c r="AP15" s="402">
        <f t="shared" si="5"/>
        <v>23</v>
      </c>
      <c r="AQ15" s="402">
        <f t="shared" si="6"/>
        <v>2</v>
      </c>
      <c r="AR15" s="402">
        <f t="shared" si="7"/>
        <v>49</v>
      </c>
      <c r="AS15" s="402">
        <f t="shared" si="8"/>
        <v>2</v>
      </c>
      <c r="AT15" s="402">
        <f t="shared" si="9"/>
        <v>10</v>
      </c>
      <c r="AU15" s="402"/>
    </row>
    <row r="16" spans="1:47" s="21" customFormat="1" x14ac:dyDescent="0.15">
      <c r="A16" s="994"/>
      <c r="B16" s="594">
        <f>B15/B$21</f>
        <v>4.1390728476821195E-2</v>
      </c>
      <c r="C16" s="594">
        <f t="shared" ref="C16:K16" si="20">C15/C$21</f>
        <v>2.4143302180685357E-2</v>
      </c>
      <c r="D16" s="594">
        <f t="shared" si="20"/>
        <v>0.10038910505836576</v>
      </c>
      <c r="E16" s="594">
        <f t="shared" si="20"/>
        <v>0.1371480472297911</v>
      </c>
      <c r="F16" s="594">
        <f t="shared" si="20"/>
        <v>0.12098298676748583</v>
      </c>
      <c r="G16" s="594">
        <f t="shared" si="20"/>
        <v>0.94809688581314877</v>
      </c>
      <c r="H16" s="594">
        <f t="shared" si="20"/>
        <v>0.30156699712184204</v>
      </c>
      <c r="I16" s="594">
        <f t="shared" si="20"/>
        <v>0.24159231297185998</v>
      </c>
      <c r="J16" s="594">
        <f t="shared" si="20"/>
        <v>0.33488012374323278</v>
      </c>
      <c r="K16" s="594">
        <f t="shared" si="20"/>
        <v>0.34891942369263607</v>
      </c>
      <c r="L16" s="402"/>
      <c r="M16" s="592"/>
      <c r="N16" s="680" t="s">
        <v>566</v>
      </c>
      <c r="O16" s="636">
        <v>1</v>
      </c>
      <c r="P16" s="636">
        <v>3</v>
      </c>
      <c r="Q16" s="636">
        <v>2</v>
      </c>
      <c r="R16" s="636">
        <v>3</v>
      </c>
      <c r="S16" s="636"/>
      <c r="T16" s="636"/>
      <c r="U16" s="636">
        <v>2</v>
      </c>
      <c r="V16" s="636">
        <v>4</v>
      </c>
      <c r="W16" s="636">
        <v>1</v>
      </c>
      <c r="X16" s="636">
        <v>23</v>
      </c>
      <c r="Y16" s="636">
        <v>17</v>
      </c>
      <c r="Z16" s="636">
        <v>36</v>
      </c>
      <c r="AA16" s="636">
        <v>10</v>
      </c>
      <c r="AB16" s="636">
        <v>4</v>
      </c>
      <c r="AC16" s="636">
        <v>3</v>
      </c>
      <c r="AD16" s="636"/>
      <c r="AE16" s="636">
        <v>2</v>
      </c>
      <c r="AF16" s="636">
        <v>46</v>
      </c>
      <c r="AG16" s="636">
        <v>8</v>
      </c>
      <c r="AH16" s="636">
        <v>15</v>
      </c>
      <c r="AI16" s="636">
        <v>1</v>
      </c>
      <c r="AJ16" s="402"/>
      <c r="AK16" s="377" t="s">
        <v>566</v>
      </c>
      <c r="AL16" s="592">
        <f t="shared" si="1"/>
        <v>6</v>
      </c>
      <c r="AM16" s="402">
        <f t="shared" si="2"/>
        <v>3</v>
      </c>
      <c r="AN16" s="402">
        <f t="shared" si="3"/>
        <v>7</v>
      </c>
      <c r="AO16" s="402">
        <f t="shared" si="4"/>
        <v>76</v>
      </c>
      <c r="AP16" s="402">
        <f t="shared" si="5"/>
        <v>14</v>
      </c>
      <c r="AQ16" s="402">
        <f t="shared" si="6"/>
        <v>5</v>
      </c>
      <c r="AR16" s="402">
        <f t="shared" si="7"/>
        <v>46</v>
      </c>
      <c r="AS16" s="402">
        <f t="shared" si="8"/>
        <v>8</v>
      </c>
      <c r="AT16" s="402">
        <f t="shared" si="9"/>
        <v>16</v>
      </c>
      <c r="AU16" s="402"/>
    </row>
    <row r="17" spans="1:50" s="21" customFormat="1" x14ac:dyDescent="0.15">
      <c r="A17" s="976" t="s">
        <v>485</v>
      </c>
      <c r="B17" s="590">
        <f t="shared" ref="B17:J17" si="21">AL22</f>
        <v>4</v>
      </c>
      <c r="C17" s="590">
        <f t="shared" si="21"/>
        <v>1</v>
      </c>
      <c r="D17" s="590">
        <f t="shared" si="21"/>
        <v>6</v>
      </c>
      <c r="E17" s="590">
        <f t="shared" si="21"/>
        <v>8</v>
      </c>
      <c r="F17" s="590">
        <f t="shared" si="21"/>
        <v>6</v>
      </c>
      <c r="G17" s="590">
        <f t="shared" si="21"/>
        <v>4</v>
      </c>
      <c r="H17" s="590">
        <f t="shared" si="21"/>
        <v>110</v>
      </c>
      <c r="I17" s="590">
        <f t="shared" si="21"/>
        <v>5</v>
      </c>
      <c r="J17" s="590">
        <f t="shared" si="21"/>
        <v>17</v>
      </c>
      <c r="K17" s="591">
        <f>SUM(B17:J17)</f>
        <v>161</v>
      </c>
      <c r="L17" s="402"/>
      <c r="M17" s="592"/>
      <c r="N17" s="680" t="s">
        <v>567</v>
      </c>
      <c r="O17" s="636">
        <v>3</v>
      </c>
      <c r="P17" s="636"/>
      <c r="Q17" s="636">
        <v>1</v>
      </c>
      <c r="R17" s="636"/>
      <c r="S17" s="636"/>
      <c r="T17" s="636"/>
      <c r="U17" s="636"/>
      <c r="V17" s="636">
        <v>6</v>
      </c>
      <c r="W17" s="636"/>
      <c r="X17" s="636">
        <v>8</v>
      </c>
      <c r="Y17" s="636">
        <v>6</v>
      </c>
      <c r="Z17" s="636">
        <v>5</v>
      </c>
      <c r="AA17" s="636">
        <v>177</v>
      </c>
      <c r="AB17" s="636">
        <v>20</v>
      </c>
      <c r="AC17" s="636">
        <v>1</v>
      </c>
      <c r="AD17" s="636"/>
      <c r="AE17" s="636"/>
      <c r="AF17" s="636">
        <v>201</v>
      </c>
      <c r="AG17" s="636">
        <v>16</v>
      </c>
      <c r="AH17" s="636">
        <v>15</v>
      </c>
      <c r="AI17" s="636">
        <v>3</v>
      </c>
      <c r="AJ17" s="402"/>
      <c r="AK17" s="377" t="s">
        <v>567</v>
      </c>
      <c r="AL17" s="592">
        <f t="shared" si="1"/>
        <v>4</v>
      </c>
      <c r="AM17" s="402">
        <f t="shared" si="2"/>
        <v>0</v>
      </c>
      <c r="AN17" s="402">
        <f t="shared" si="3"/>
        <v>6</v>
      </c>
      <c r="AO17" s="402">
        <f t="shared" si="4"/>
        <v>19</v>
      </c>
      <c r="AP17" s="402">
        <f t="shared" si="5"/>
        <v>197</v>
      </c>
      <c r="AQ17" s="402">
        <f t="shared" si="6"/>
        <v>1</v>
      </c>
      <c r="AR17" s="402">
        <f t="shared" si="7"/>
        <v>201</v>
      </c>
      <c r="AS17" s="402">
        <f t="shared" si="8"/>
        <v>16</v>
      </c>
      <c r="AT17" s="402">
        <f t="shared" si="9"/>
        <v>18</v>
      </c>
      <c r="AU17" s="402"/>
    </row>
    <row r="18" spans="1:50" s="21" customFormat="1" x14ac:dyDescent="0.15">
      <c r="A18" s="994"/>
      <c r="B18" s="594">
        <f>B17/B$21</f>
        <v>3.3112582781456954E-3</v>
      </c>
      <c r="C18" s="594">
        <f t="shared" ref="C18:K18" si="22">C17/C$21</f>
        <v>7.7881619937694702E-4</v>
      </c>
      <c r="D18" s="594">
        <f t="shared" si="22"/>
        <v>4.6692607003891049E-3</v>
      </c>
      <c r="E18" s="594">
        <f t="shared" si="22"/>
        <v>7.266121707538601E-3</v>
      </c>
      <c r="F18" s="594">
        <f t="shared" si="22"/>
        <v>5.6710775047258983E-3</v>
      </c>
      <c r="G18" s="594">
        <f t="shared" si="22"/>
        <v>1.2582573136206354E-3</v>
      </c>
      <c r="H18" s="594">
        <f t="shared" si="22"/>
        <v>3.517748640869843E-2</v>
      </c>
      <c r="I18" s="594">
        <f t="shared" si="22"/>
        <v>3.4317089910775567E-3</v>
      </c>
      <c r="J18" s="594">
        <f t="shared" si="22"/>
        <v>1.3147718484145398E-2</v>
      </c>
      <c r="K18" s="594">
        <f t="shared" si="22"/>
        <v>1.073906083244397E-2</v>
      </c>
      <c r="L18" s="402"/>
      <c r="M18" s="592"/>
      <c r="N18" s="680" t="s">
        <v>568</v>
      </c>
      <c r="O18" s="636">
        <v>1</v>
      </c>
      <c r="P18" s="636">
        <v>2</v>
      </c>
      <c r="Q18" s="636">
        <v>1</v>
      </c>
      <c r="R18" s="636">
        <v>4</v>
      </c>
      <c r="S18" s="636">
        <v>1</v>
      </c>
      <c r="T18" s="636">
        <v>4</v>
      </c>
      <c r="U18" s="636">
        <v>4</v>
      </c>
      <c r="V18" s="636">
        <v>2</v>
      </c>
      <c r="W18" s="636">
        <v>1</v>
      </c>
      <c r="X18" s="636">
        <v>15</v>
      </c>
      <c r="Y18" s="636">
        <v>17</v>
      </c>
      <c r="Z18" s="636">
        <v>5</v>
      </c>
      <c r="AA18" s="636">
        <v>50</v>
      </c>
      <c r="AB18" s="636">
        <v>360</v>
      </c>
      <c r="AC18" s="636">
        <v>13</v>
      </c>
      <c r="AD18" s="636">
        <v>4</v>
      </c>
      <c r="AE18" s="636">
        <v>2</v>
      </c>
      <c r="AF18" s="636">
        <v>113</v>
      </c>
      <c r="AG18" s="636">
        <v>117</v>
      </c>
      <c r="AH18" s="636">
        <v>41</v>
      </c>
      <c r="AI18" s="636">
        <v>8</v>
      </c>
      <c r="AJ18" s="402"/>
      <c r="AK18" s="377" t="s">
        <v>568</v>
      </c>
      <c r="AL18" s="592">
        <f t="shared" si="1"/>
        <v>4</v>
      </c>
      <c r="AM18" s="402">
        <f t="shared" si="2"/>
        <v>5</v>
      </c>
      <c r="AN18" s="402">
        <f t="shared" si="3"/>
        <v>11</v>
      </c>
      <c r="AO18" s="402">
        <f t="shared" si="4"/>
        <v>37</v>
      </c>
      <c r="AP18" s="402">
        <f t="shared" si="5"/>
        <v>410</v>
      </c>
      <c r="AQ18" s="402">
        <f t="shared" si="6"/>
        <v>19</v>
      </c>
      <c r="AR18" s="402">
        <f t="shared" si="7"/>
        <v>113</v>
      </c>
      <c r="AS18" s="402">
        <f t="shared" si="8"/>
        <v>117</v>
      </c>
      <c r="AT18" s="402">
        <f t="shared" si="9"/>
        <v>49</v>
      </c>
      <c r="AU18" s="402"/>
    </row>
    <row r="19" spans="1:50" s="21" customFormat="1" x14ac:dyDescent="0.15">
      <c r="A19" s="976" t="s">
        <v>486</v>
      </c>
      <c r="B19" s="590">
        <f t="shared" ref="B19:J19" si="23">AL23</f>
        <v>23</v>
      </c>
      <c r="C19" s="590">
        <f t="shared" si="23"/>
        <v>13</v>
      </c>
      <c r="D19" s="590">
        <f t="shared" si="23"/>
        <v>24</v>
      </c>
      <c r="E19" s="590">
        <f t="shared" si="23"/>
        <v>62</v>
      </c>
      <c r="F19" s="590">
        <f t="shared" si="23"/>
        <v>245</v>
      </c>
      <c r="G19" s="590">
        <f t="shared" si="23"/>
        <v>110</v>
      </c>
      <c r="H19" s="590">
        <f t="shared" si="23"/>
        <v>600</v>
      </c>
      <c r="I19" s="590">
        <f t="shared" si="23"/>
        <v>921</v>
      </c>
      <c r="J19" s="590">
        <f t="shared" si="23"/>
        <v>80</v>
      </c>
      <c r="K19" s="591">
        <f>SUM(B19:J19)</f>
        <v>2078</v>
      </c>
      <c r="L19" s="402"/>
      <c r="M19" s="592"/>
      <c r="N19" s="680" t="s">
        <v>569</v>
      </c>
      <c r="O19" s="636"/>
      <c r="P19" s="636">
        <v>3</v>
      </c>
      <c r="Q19" s="636">
        <v>9</v>
      </c>
      <c r="R19" s="636">
        <v>8</v>
      </c>
      <c r="S19" s="636">
        <v>2</v>
      </c>
      <c r="T19" s="636">
        <v>12</v>
      </c>
      <c r="U19" s="636">
        <v>10</v>
      </c>
      <c r="V19" s="636">
        <v>9</v>
      </c>
      <c r="W19" s="636">
        <v>11</v>
      </c>
      <c r="X19" s="636">
        <v>54</v>
      </c>
      <c r="Y19" s="636">
        <v>16</v>
      </c>
      <c r="Z19" s="636">
        <v>4</v>
      </c>
      <c r="AA19" s="636">
        <v>27</v>
      </c>
      <c r="AB19" s="636">
        <v>29</v>
      </c>
      <c r="AC19" s="636">
        <v>633</v>
      </c>
      <c r="AD19" s="636">
        <v>79</v>
      </c>
      <c r="AE19" s="636">
        <v>30</v>
      </c>
      <c r="AF19" s="636">
        <v>351</v>
      </c>
      <c r="AG19" s="636">
        <v>211</v>
      </c>
      <c r="AH19" s="636">
        <v>140</v>
      </c>
      <c r="AI19" s="636">
        <v>8</v>
      </c>
      <c r="AJ19" s="402"/>
      <c r="AK19" s="377" t="s">
        <v>569</v>
      </c>
      <c r="AL19" s="592">
        <f t="shared" si="1"/>
        <v>12</v>
      </c>
      <c r="AM19" s="402">
        <f t="shared" si="2"/>
        <v>10</v>
      </c>
      <c r="AN19" s="402">
        <f t="shared" si="3"/>
        <v>42</v>
      </c>
      <c r="AO19" s="402">
        <f t="shared" si="4"/>
        <v>74</v>
      </c>
      <c r="AP19" s="402">
        <f t="shared" si="5"/>
        <v>56</v>
      </c>
      <c r="AQ19" s="402">
        <f t="shared" si="6"/>
        <v>742</v>
      </c>
      <c r="AR19" s="402">
        <f t="shared" si="7"/>
        <v>351</v>
      </c>
      <c r="AS19" s="402">
        <f t="shared" si="8"/>
        <v>211</v>
      </c>
      <c r="AT19" s="402">
        <f t="shared" si="9"/>
        <v>148</v>
      </c>
      <c r="AU19" s="402"/>
    </row>
    <row r="20" spans="1:50" s="21" customFormat="1" x14ac:dyDescent="0.15">
      <c r="A20" s="994"/>
      <c r="B20" s="594">
        <f>B19/B$21</f>
        <v>1.9039735099337748E-2</v>
      </c>
      <c r="C20" s="594">
        <f t="shared" ref="C20:K20" si="24">C19/C$21</f>
        <v>1.0124610591900311E-2</v>
      </c>
      <c r="D20" s="594">
        <f t="shared" si="24"/>
        <v>1.867704280155642E-2</v>
      </c>
      <c r="E20" s="594">
        <f t="shared" si="24"/>
        <v>5.6312443233424159E-2</v>
      </c>
      <c r="F20" s="594">
        <f t="shared" si="24"/>
        <v>0.23156899810964082</v>
      </c>
      <c r="G20" s="594">
        <f t="shared" si="24"/>
        <v>3.4602076124567477E-2</v>
      </c>
      <c r="H20" s="594">
        <f t="shared" si="24"/>
        <v>0.19187719859290053</v>
      </c>
      <c r="I20" s="594">
        <f t="shared" si="24"/>
        <v>0.63212079615648598</v>
      </c>
      <c r="J20" s="594">
        <f t="shared" si="24"/>
        <v>6.1871616395978345E-2</v>
      </c>
      <c r="K20" s="594">
        <f t="shared" si="24"/>
        <v>0.13860725720384204</v>
      </c>
      <c r="L20" s="402"/>
      <c r="M20" s="592"/>
      <c r="N20" s="680" t="s">
        <v>570</v>
      </c>
      <c r="O20" s="636">
        <v>5</v>
      </c>
      <c r="P20" s="636">
        <v>16</v>
      </c>
      <c r="Q20" s="636">
        <v>11</v>
      </c>
      <c r="R20" s="636">
        <v>10</v>
      </c>
      <c r="S20" s="636">
        <v>4</v>
      </c>
      <c r="T20" s="636">
        <v>9</v>
      </c>
      <c r="U20" s="636">
        <v>13</v>
      </c>
      <c r="V20" s="636">
        <v>11</v>
      </c>
      <c r="W20" s="636">
        <v>11</v>
      </c>
      <c r="X20" s="636">
        <v>37</v>
      </c>
      <c r="Y20" s="636">
        <v>11</v>
      </c>
      <c r="Z20" s="636">
        <v>7</v>
      </c>
      <c r="AA20" s="636">
        <v>26</v>
      </c>
      <c r="AB20" s="636">
        <v>27</v>
      </c>
      <c r="AC20" s="636">
        <v>149</v>
      </c>
      <c r="AD20" s="636">
        <v>1061</v>
      </c>
      <c r="AE20" s="636">
        <v>164</v>
      </c>
      <c r="AF20" s="636">
        <v>457</v>
      </c>
      <c r="AG20" s="636">
        <v>110</v>
      </c>
      <c r="AH20" s="636">
        <v>143</v>
      </c>
      <c r="AI20" s="636">
        <v>53</v>
      </c>
      <c r="AJ20" s="402"/>
      <c r="AK20" s="377" t="s">
        <v>570</v>
      </c>
      <c r="AL20" s="592">
        <f t="shared" si="1"/>
        <v>32</v>
      </c>
      <c r="AM20" s="402">
        <f t="shared" si="2"/>
        <v>14</v>
      </c>
      <c r="AN20" s="402">
        <f t="shared" si="3"/>
        <v>44</v>
      </c>
      <c r="AO20" s="402">
        <f t="shared" si="4"/>
        <v>55</v>
      </c>
      <c r="AP20" s="402">
        <f t="shared" si="5"/>
        <v>53</v>
      </c>
      <c r="AQ20" s="402">
        <f t="shared" si="6"/>
        <v>1374</v>
      </c>
      <c r="AR20" s="402">
        <f t="shared" si="7"/>
        <v>457</v>
      </c>
      <c r="AS20" s="402">
        <f t="shared" si="8"/>
        <v>110</v>
      </c>
      <c r="AT20" s="402">
        <f t="shared" si="9"/>
        <v>196</v>
      </c>
      <c r="AU20" s="402"/>
    </row>
    <row r="21" spans="1:50" s="21" customFormat="1" x14ac:dyDescent="0.15">
      <c r="A21" s="1007" t="s">
        <v>11</v>
      </c>
      <c r="B21" s="595">
        <f>SUM(B5,B7,B9,B11,B13,B15,B17,B19)</f>
        <v>1208</v>
      </c>
      <c r="C21" s="595">
        <f t="shared" ref="C21:K22" si="25">SUM(C5,C7,C9,C11,C13,C15,C17,C19)</f>
        <v>1284</v>
      </c>
      <c r="D21" s="595">
        <f t="shared" si="25"/>
        <v>1285</v>
      </c>
      <c r="E21" s="595">
        <f t="shared" si="25"/>
        <v>1101</v>
      </c>
      <c r="F21" s="595">
        <f t="shared" si="25"/>
        <v>1058</v>
      </c>
      <c r="G21" s="595">
        <f t="shared" si="25"/>
        <v>3179</v>
      </c>
      <c r="H21" s="595">
        <f t="shared" si="25"/>
        <v>3127</v>
      </c>
      <c r="I21" s="595">
        <f t="shared" si="25"/>
        <v>1457</v>
      </c>
      <c r="J21" s="595">
        <f t="shared" si="25"/>
        <v>1293</v>
      </c>
      <c r="K21" s="595">
        <f t="shared" si="25"/>
        <v>14992</v>
      </c>
      <c r="L21" s="402"/>
      <c r="M21" s="592"/>
      <c r="N21" s="680" t="s">
        <v>571</v>
      </c>
      <c r="O21" s="636">
        <v>4</v>
      </c>
      <c r="P21" s="636">
        <v>2</v>
      </c>
      <c r="Q21" s="636"/>
      <c r="R21" s="636">
        <v>2</v>
      </c>
      <c r="S21" s="636">
        <v>5</v>
      </c>
      <c r="T21" s="636">
        <v>12</v>
      </c>
      <c r="U21" s="636">
        <v>8</v>
      </c>
      <c r="V21" s="636">
        <v>20</v>
      </c>
      <c r="W21" s="636">
        <v>3</v>
      </c>
      <c r="X21" s="636">
        <v>11</v>
      </c>
      <c r="Y21" s="636">
        <v>10</v>
      </c>
      <c r="Z21" s="636">
        <v>1</v>
      </c>
      <c r="AA21" s="636">
        <v>9</v>
      </c>
      <c r="AB21" s="636">
        <v>10</v>
      </c>
      <c r="AC21" s="636">
        <v>32</v>
      </c>
      <c r="AD21" s="636">
        <v>107</v>
      </c>
      <c r="AE21" s="636">
        <v>759</v>
      </c>
      <c r="AF21" s="636">
        <v>135</v>
      </c>
      <c r="AG21" s="636">
        <v>31</v>
      </c>
      <c r="AH21" s="636">
        <v>85</v>
      </c>
      <c r="AI21" s="636">
        <v>4</v>
      </c>
      <c r="AJ21" s="402"/>
      <c r="AK21" s="377" t="s">
        <v>571</v>
      </c>
      <c r="AL21" s="592">
        <f t="shared" si="1"/>
        <v>6</v>
      </c>
      <c r="AM21" s="402">
        <f t="shared" si="2"/>
        <v>7</v>
      </c>
      <c r="AN21" s="402">
        <f t="shared" si="3"/>
        <v>43</v>
      </c>
      <c r="AO21" s="402">
        <f t="shared" si="4"/>
        <v>22</v>
      </c>
      <c r="AP21" s="402">
        <f t="shared" si="5"/>
        <v>19</v>
      </c>
      <c r="AQ21" s="402">
        <f t="shared" si="6"/>
        <v>898</v>
      </c>
      <c r="AR21" s="402">
        <f t="shared" si="7"/>
        <v>135</v>
      </c>
      <c r="AS21" s="402">
        <f t="shared" si="8"/>
        <v>31</v>
      </c>
      <c r="AT21" s="402">
        <f t="shared" si="9"/>
        <v>89</v>
      </c>
      <c r="AU21" s="402"/>
    </row>
    <row r="22" spans="1:50" s="21" customFormat="1" x14ac:dyDescent="0.15">
      <c r="A22" s="1008"/>
      <c r="B22" s="596">
        <f>SUM(B6,B8,B10,B12,B14,B16,B18,B20)</f>
        <v>1</v>
      </c>
      <c r="C22" s="596">
        <f t="shared" si="25"/>
        <v>0.99999999999999989</v>
      </c>
      <c r="D22" s="596">
        <f t="shared" si="25"/>
        <v>0.99999999999999989</v>
      </c>
      <c r="E22" s="596">
        <f t="shared" si="25"/>
        <v>1</v>
      </c>
      <c r="F22" s="596">
        <f t="shared" si="25"/>
        <v>1</v>
      </c>
      <c r="G22" s="596">
        <f t="shared" si="25"/>
        <v>0.99999999999999989</v>
      </c>
      <c r="H22" s="596">
        <f t="shared" si="25"/>
        <v>1</v>
      </c>
      <c r="I22" s="596">
        <f t="shared" si="25"/>
        <v>1</v>
      </c>
      <c r="J22" s="596">
        <f t="shared" si="25"/>
        <v>1</v>
      </c>
      <c r="K22" s="596">
        <f t="shared" si="25"/>
        <v>0.99999999999999989</v>
      </c>
      <c r="L22" s="402"/>
      <c r="M22" s="592"/>
      <c r="N22" s="680" t="s">
        <v>572</v>
      </c>
      <c r="O22" s="636">
        <v>1</v>
      </c>
      <c r="P22" s="636">
        <v>2</v>
      </c>
      <c r="Q22" s="636">
        <v>1</v>
      </c>
      <c r="R22" s="636">
        <v>1</v>
      </c>
      <c r="S22" s="636"/>
      <c r="T22" s="636">
        <v>5</v>
      </c>
      <c r="U22" s="636"/>
      <c r="V22" s="636">
        <v>1</v>
      </c>
      <c r="W22" s="636"/>
      <c r="X22" s="636">
        <v>5</v>
      </c>
      <c r="Y22" s="636">
        <v>2</v>
      </c>
      <c r="Z22" s="636">
        <v>1</v>
      </c>
      <c r="AA22" s="636">
        <v>3</v>
      </c>
      <c r="AB22" s="636">
        <v>3</v>
      </c>
      <c r="AC22" s="636">
        <v>3</v>
      </c>
      <c r="AD22" s="636">
        <v>1</v>
      </c>
      <c r="AE22" s="636"/>
      <c r="AF22" s="636">
        <v>110</v>
      </c>
      <c r="AG22" s="636">
        <v>5</v>
      </c>
      <c r="AH22" s="636">
        <v>17</v>
      </c>
      <c r="AI22" s="636"/>
      <c r="AJ22" s="402"/>
      <c r="AK22" s="377" t="s">
        <v>572</v>
      </c>
      <c r="AL22" s="592">
        <f t="shared" si="1"/>
        <v>4</v>
      </c>
      <c r="AM22" s="402">
        <f t="shared" si="2"/>
        <v>1</v>
      </c>
      <c r="AN22" s="402">
        <f t="shared" si="3"/>
        <v>6</v>
      </c>
      <c r="AO22" s="402">
        <f t="shared" si="4"/>
        <v>8</v>
      </c>
      <c r="AP22" s="402">
        <f t="shared" si="5"/>
        <v>6</v>
      </c>
      <c r="AQ22" s="402">
        <f t="shared" si="6"/>
        <v>4</v>
      </c>
      <c r="AR22" s="402">
        <f t="shared" si="7"/>
        <v>110</v>
      </c>
      <c r="AS22" s="402">
        <f t="shared" si="8"/>
        <v>5</v>
      </c>
      <c r="AT22" s="402">
        <f t="shared" si="9"/>
        <v>17</v>
      </c>
      <c r="AU22" s="402"/>
    </row>
    <row r="23" spans="1:50" x14ac:dyDescent="0.15">
      <c r="L23" s="42"/>
      <c r="M23" s="42"/>
      <c r="N23" s="675" t="s">
        <v>573</v>
      </c>
      <c r="O23" s="635">
        <v>7</v>
      </c>
      <c r="P23" s="635">
        <v>9</v>
      </c>
      <c r="Q23" s="635">
        <v>7</v>
      </c>
      <c r="R23" s="635">
        <v>9</v>
      </c>
      <c r="S23" s="635">
        <v>4</v>
      </c>
      <c r="T23" s="635">
        <v>6</v>
      </c>
      <c r="U23" s="635">
        <v>3</v>
      </c>
      <c r="V23" s="635">
        <v>10</v>
      </c>
      <c r="W23" s="635">
        <v>5</v>
      </c>
      <c r="X23" s="635">
        <v>33</v>
      </c>
      <c r="Y23" s="635">
        <v>21</v>
      </c>
      <c r="Z23" s="635">
        <v>8</v>
      </c>
      <c r="AA23" s="635">
        <v>158</v>
      </c>
      <c r="AB23" s="635">
        <v>87</v>
      </c>
      <c r="AC23" s="635">
        <v>69</v>
      </c>
      <c r="AD23" s="635">
        <v>24</v>
      </c>
      <c r="AE23" s="635">
        <v>17</v>
      </c>
      <c r="AF23" s="635">
        <v>600</v>
      </c>
      <c r="AG23" s="635">
        <v>921</v>
      </c>
      <c r="AH23" s="635">
        <v>66</v>
      </c>
      <c r="AI23" s="635">
        <v>14</v>
      </c>
      <c r="AJ23" s="402"/>
      <c r="AK23" s="377" t="s">
        <v>573</v>
      </c>
      <c r="AL23" s="592">
        <f t="shared" si="1"/>
        <v>23</v>
      </c>
      <c r="AM23" s="402">
        <f t="shared" si="2"/>
        <v>13</v>
      </c>
      <c r="AN23" s="402">
        <f t="shared" si="3"/>
        <v>24</v>
      </c>
      <c r="AO23" s="402">
        <f t="shared" si="4"/>
        <v>62</v>
      </c>
      <c r="AP23" s="402">
        <f t="shared" si="5"/>
        <v>245</v>
      </c>
      <c r="AQ23" s="402">
        <f t="shared" si="6"/>
        <v>110</v>
      </c>
      <c r="AR23" s="402">
        <f t="shared" si="7"/>
        <v>600</v>
      </c>
      <c r="AS23" s="402">
        <f t="shared" si="8"/>
        <v>921</v>
      </c>
      <c r="AT23" s="402">
        <f t="shared" si="9"/>
        <v>80</v>
      </c>
      <c r="AU23" s="42"/>
    </row>
    <row r="24" spans="1:50" s="3" customFormat="1" ht="19.5" x14ac:dyDescent="0.15">
      <c r="A24" s="2" t="s">
        <v>487</v>
      </c>
      <c r="L24" s="597"/>
      <c r="M24" s="597"/>
      <c r="N24" s="675"/>
      <c r="O24" s="636"/>
      <c r="P24" s="636"/>
      <c r="Q24" s="636"/>
      <c r="R24" s="636"/>
      <c r="S24" s="636"/>
      <c r="T24" s="636"/>
      <c r="U24" s="636"/>
      <c r="V24" s="636"/>
      <c r="W24" s="636"/>
      <c r="X24" s="636"/>
      <c r="Y24" s="636"/>
      <c r="Z24" s="636"/>
      <c r="AA24" s="636"/>
      <c r="AB24" s="636"/>
      <c r="AC24" s="636"/>
      <c r="AD24" s="636"/>
      <c r="AE24" s="636"/>
      <c r="AF24" s="636"/>
      <c r="AG24" s="636"/>
      <c r="AH24" s="636"/>
      <c r="AI24" s="636"/>
      <c r="AJ24" s="597"/>
      <c r="AK24" s="597"/>
      <c r="AL24" s="597"/>
      <c r="AM24" s="597"/>
      <c r="AN24" s="597"/>
      <c r="AO24" s="597"/>
      <c r="AP24" s="597"/>
      <c r="AQ24" s="597"/>
      <c r="AR24" s="597"/>
      <c r="AS24" s="597"/>
      <c r="AT24" s="597"/>
      <c r="AU24" s="597"/>
    </row>
    <row r="25" spans="1:50" x14ac:dyDescent="0.15">
      <c r="A25" s="4"/>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row>
    <row r="26" spans="1:50" ht="19.5" thickBot="1" x14ac:dyDescent="0.2">
      <c r="A26" s="1002" t="s">
        <v>473</v>
      </c>
      <c r="B26" s="1004" t="s">
        <v>474</v>
      </c>
      <c r="C26" s="1005"/>
      <c r="D26" s="1005"/>
      <c r="E26" s="1005"/>
      <c r="F26" s="1005"/>
      <c r="G26" s="1005"/>
      <c r="H26" s="1005"/>
      <c r="I26" s="1005"/>
      <c r="J26" s="1005"/>
      <c r="K26" s="1006"/>
      <c r="AK26" s="536"/>
      <c r="AL26" s="587" t="s">
        <v>475</v>
      </c>
      <c r="AM26" s="587"/>
    </row>
    <row r="27" spans="1:50" ht="34.5" thickTop="1" thickBot="1" x14ac:dyDescent="0.2">
      <c r="A27" s="1003"/>
      <c r="B27" s="588" t="s">
        <v>387</v>
      </c>
      <c r="C27" s="588" t="s">
        <v>388</v>
      </c>
      <c r="D27" s="588" t="s">
        <v>389</v>
      </c>
      <c r="E27" s="588" t="s">
        <v>390</v>
      </c>
      <c r="F27" s="588" t="s">
        <v>391</v>
      </c>
      <c r="G27" s="588" t="s">
        <v>392</v>
      </c>
      <c r="H27" s="588" t="s">
        <v>393</v>
      </c>
      <c r="I27" s="588" t="s">
        <v>394</v>
      </c>
      <c r="J27" s="589" t="s">
        <v>465</v>
      </c>
      <c r="K27" s="588" t="s">
        <v>62</v>
      </c>
      <c r="N27" s="738" t="s">
        <v>373</v>
      </c>
      <c r="O27" s="718" t="s">
        <v>395</v>
      </c>
      <c r="P27" s="718" t="s">
        <v>396</v>
      </c>
      <c r="Q27" s="718" t="s">
        <v>397</v>
      </c>
      <c r="R27" s="718" t="s">
        <v>398</v>
      </c>
      <c r="S27" s="718" t="s">
        <v>399</v>
      </c>
      <c r="T27" s="718" t="s">
        <v>400</v>
      </c>
      <c r="U27" s="718" t="s">
        <v>401</v>
      </c>
      <c r="V27" s="718" t="s">
        <v>402</v>
      </c>
      <c r="W27" s="718" t="s">
        <v>403</v>
      </c>
      <c r="X27" s="718" t="s">
        <v>404</v>
      </c>
      <c r="Y27" s="718" t="s">
        <v>565</v>
      </c>
      <c r="Z27" s="718" t="s">
        <v>566</v>
      </c>
      <c r="AA27" s="718" t="s">
        <v>567</v>
      </c>
      <c r="AB27" s="718" t="s">
        <v>568</v>
      </c>
      <c r="AC27" s="718" t="s">
        <v>569</v>
      </c>
      <c r="AD27" s="718" t="s">
        <v>570</v>
      </c>
      <c r="AE27" s="718" t="s">
        <v>571</v>
      </c>
      <c r="AF27" s="718" t="s">
        <v>572</v>
      </c>
      <c r="AG27" s="718" t="s">
        <v>573</v>
      </c>
      <c r="AH27" s="718" t="s">
        <v>620</v>
      </c>
      <c r="AI27" s="718" t="s">
        <v>621</v>
      </c>
      <c r="AJ27" s="718" t="s">
        <v>609</v>
      </c>
      <c r="AK27" s="42"/>
      <c r="AL27" s="42"/>
      <c r="AM27" s="42" t="s">
        <v>476</v>
      </c>
      <c r="AN27" s="42" t="s">
        <v>477</v>
      </c>
      <c r="AO27" s="42" t="s">
        <v>478</v>
      </c>
      <c r="AP27" s="42" t="s">
        <v>479</v>
      </c>
      <c r="AQ27" s="42" t="s">
        <v>480</v>
      </c>
      <c r="AR27" s="42" t="s">
        <v>481</v>
      </c>
      <c r="AS27" s="42" t="s">
        <v>482</v>
      </c>
      <c r="AT27" s="42" t="s">
        <v>483</v>
      </c>
      <c r="AU27" s="42" t="s">
        <v>484</v>
      </c>
      <c r="AV27" s="42"/>
      <c r="AW27" s="42"/>
      <c r="AX27" s="42"/>
    </row>
    <row r="28" spans="1:50" s="21" customFormat="1" ht="19.5" thickTop="1" x14ac:dyDescent="0.15">
      <c r="A28" s="976" t="s">
        <v>387</v>
      </c>
      <c r="B28" s="590">
        <f t="shared" ref="B28:I28" si="26">SUM(AM28:AM30)</f>
        <v>509</v>
      </c>
      <c r="C28" s="590">
        <f t="shared" si="26"/>
        <v>34</v>
      </c>
      <c r="D28" s="590">
        <f t="shared" si="26"/>
        <v>24</v>
      </c>
      <c r="E28" s="590">
        <f t="shared" si="26"/>
        <v>5</v>
      </c>
      <c r="F28" s="590">
        <f t="shared" si="26"/>
        <v>6</v>
      </c>
      <c r="G28" s="590">
        <f t="shared" si="26"/>
        <v>1</v>
      </c>
      <c r="H28" s="590">
        <f t="shared" si="26"/>
        <v>243</v>
      </c>
      <c r="I28" s="590">
        <f t="shared" si="26"/>
        <v>6</v>
      </c>
      <c r="J28" s="590">
        <f>SUM(AU28:AU30)</f>
        <v>185</v>
      </c>
      <c r="K28" s="591">
        <f>SUM(B28:J28)</f>
        <v>1013</v>
      </c>
      <c r="M28" s="592"/>
      <c r="N28" s="741" t="s">
        <v>395</v>
      </c>
      <c r="O28" s="681">
        <v>152</v>
      </c>
      <c r="P28" s="681">
        <v>30</v>
      </c>
      <c r="Q28" s="681">
        <v>32</v>
      </c>
      <c r="R28" s="681">
        <v>5</v>
      </c>
      <c r="S28" s="681">
        <v>3</v>
      </c>
      <c r="T28" s="681">
        <v>2</v>
      </c>
      <c r="U28" s="681">
        <v>1</v>
      </c>
      <c r="V28" s="681">
        <v>2</v>
      </c>
      <c r="W28" s="681"/>
      <c r="X28" s="681">
        <v>1</v>
      </c>
      <c r="Y28" s="681"/>
      <c r="Z28" s="681"/>
      <c r="AA28" s="681"/>
      <c r="AB28" s="681"/>
      <c r="AC28" s="681"/>
      <c r="AD28" s="681"/>
      <c r="AE28" s="681"/>
      <c r="AF28" s="681">
        <v>49</v>
      </c>
      <c r="AG28" s="681">
        <v>1</v>
      </c>
      <c r="AH28" s="681">
        <v>84</v>
      </c>
      <c r="AI28" s="681">
        <v>5</v>
      </c>
      <c r="AJ28" s="681"/>
      <c r="AK28" s="592"/>
      <c r="AL28" s="377" t="s">
        <v>395</v>
      </c>
      <c r="AM28" s="593">
        <f>SUM(O28:Q28)</f>
        <v>214</v>
      </c>
      <c r="AN28" s="598">
        <f>SUM(R28:S28)</f>
        <v>8</v>
      </c>
      <c r="AO28" s="598">
        <f>SUM(T28:W28)</f>
        <v>5</v>
      </c>
      <c r="AP28" s="598">
        <f>SUM(X28:Z28)</f>
        <v>1</v>
      </c>
      <c r="AQ28" s="598">
        <f>SUM(AA28:AB28)</f>
        <v>0</v>
      </c>
      <c r="AR28" s="598">
        <f>SUM(AC28:AE28)</f>
        <v>0</v>
      </c>
      <c r="AS28" s="598">
        <f>AF28</f>
        <v>49</v>
      </c>
      <c r="AT28" s="598">
        <f>AG28</f>
        <v>1</v>
      </c>
      <c r="AU28" s="598">
        <f>SUM(AH28:AI28)</f>
        <v>89</v>
      </c>
      <c r="AV28" s="85">
        <f>SUM(AM28:AU28)</f>
        <v>367</v>
      </c>
    </row>
    <row r="29" spans="1:50" s="21" customFormat="1" x14ac:dyDescent="0.15">
      <c r="A29" s="994"/>
      <c r="B29" s="594">
        <f>B28/B$44</f>
        <v>0.73661360347322724</v>
      </c>
      <c r="C29" s="594">
        <f t="shared" ref="C29:K29" si="27">C28/C$44</f>
        <v>4.7287899860917942E-2</v>
      </c>
      <c r="D29" s="594">
        <f t="shared" si="27"/>
        <v>3.4139402560455195E-2</v>
      </c>
      <c r="E29" s="594">
        <f t="shared" si="27"/>
        <v>8.6505190311418692E-3</v>
      </c>
      <c r="F29" s="594">
        <f t="shared" si="27"/>
        <v>1.0101010101010102E-2</v>
      </c>
      <c r="G29" s="594">
        <f t="shared" si="27"/>
        <v>4.6707146193367583E-4</v>
      </c>
      <c r="H29" s="594">
        <f t="shared" si="27"/>
        <v>0.14378698224852071</v>
      </c>
      <c r="I29" s="594">
        <f t="shared" si="27"/>
        <v>6.9686411149825784E-3</v>
      </c>
      <c r="J29" s="594">
        <f t="shared" si="27"/>
        <v>0.23506988564167725</v>
      </c>
      <c r="K29" s="594">
        <f t="shared" si="27"/>
        <v>0.11558649018712916</v>
      </c>
      <c r="M29" s="592"/>
      <c r="N29" s="717" t="s">
        <v>396</v>
      </c>
      <c r="O29" s="658">
        <v>20</v>
      </c>
      <c r="P29" s="658">
        <v>133</v>
      </c>
      <c r="Q29" s="658">
        <v>33</v>
      </c>
      <c r="R29" s="658">
        <v>9</v>
      </c>
      <c r="S29" s="658">
        <v>6</v>
      </c>
      <c r="T29" s="658">
        <v>3</v>
      </c>
      <c r="U29" s="658">
        <v>1</v>
      </c>
      <c r="V29" s="658">
        <v>8</v>
      </c>
      <c r="W29" s="658"/>
      <c r="X29" s="658">
        <v>3</v>
      </c>
      <c r="Y29" s="658"/>
      <c r="Z29" s="658"/>
      <c r="AA29" s="658">
        <v>1</v>
      </c>
      <c r="AB29" s="658">
        <v>1</v>
      </c>
      <c r="AC29" s="658"/>
      <c r="AD29" s="658"/>
      <c r="AE29" s="658"/>
      <c r="AF29" s="658">
        <v>131</v>
      </c>
      <c r="AG29" s="658">
        <v>2</v>
      </c>
      <c r="AH29" s="658">
        <v>65</v>
      </c>
      <c r="AI29" s="658"/>
      <c r="AJ29" s="681"/>
      <c r="AK29" s="592"/>
      <c r="AL29" s="377" t="s">
        <v>396</v>
      </c>
      <c r="AM29" s="592">
        <f t="shared" ref="AM29:AM46" si="28">SUM(O29:Q29)</f>
        <v>186</v>
      </c>
      <c r="AN29" s="402">
        <f t="shared" ref="AN29:AN46" si="29">SUM(R29:S29)</f>
        <v>15</v>
      </c>
      <c r="AO29" s="402">
        <f t="shared" ref="AO29:AO46" si="30">SUM(T29:W29)</f>
        <v>12</v>
      </c>
      <c r="AP29" s="402">
        <f t="shared" ref="AP29:AP46" si="31">SUM(X29:Z29)</f>
        <v>3</v>
      </c>
      <c r="AQ29" s="402">
        <f t="shared" ref="AQ29:AQ46" si="32">SUM(AA29:AB29)</f>
        <v>2</v>
      </c>
      <c r="AR29" s="402">
        <f t="shared" ref="AR29:AR46" si="33">SUM(AC29:AE29)</f>
        <v>0</v>
      </c>
      <c r="AS29" s="402">
        <f t="shared" ref="AS29:AS46" si="34">AF29</f>
        <v>131</v>
      </c>
      <c r="AT29" s="402">
        <f t="shared" ref="AT29:AT46" si="35">AG29</f>
        <v>2</v>
      </c>
      <c r="AU29" s="402">
        <f t="shared" ref="AU29:AU46" si="36">SUM(AH29:AI29)</f>
        <v>65</v>
      </c>
      <c r="AV29" s="85">
        <f t="shared" ref="AV29:AV46" si="37">SUM(AM29:AU29)</f>
        <v>416</v>
      </c>
    </row>
    <row r="30" spans="1:50" s="21" customFormat="1" x14ac:dyDescent="0.15">
      <c r="A30" s="976" t="s">
        <v>388</v>
      </c>
      <c r="B30" s="590">
        <f>SUM(AM31:AM32)</f>
        <v>108</v>
      </c>
      <c r="C30" s="590">
        <f t="shared" ref="C30:J30" si="38">SUM(AN31:AN32)</f>
        <v>638</v>
      </c>
      <c r="D30" s="590">
        <f t="shared" si="38"/>
        <v>76</v>
      </c>
      <c r="E30" s="590">
        <f t="shared" si="38"/>
        <v>16</v>
      </c>
      <c r="F30" s="590">
        <f t="shared" si="38"/>
        <v>4</v>
      </c>
      <c r="G30" s="590">
        <f t="shared" si="38"/>
        <v>5</v>
      </c>
      <c r="H30" s="590">
        <f t="shared" si="38"/>
        <v>142</v>
      </c>
      <c r="I30" s="590">
        <f t="shared" si="38"/>
        <v>6</v>
      </c>
      <c r="J30" s="590">
        <f t="shared" si="38"/>
        <v>119</v>
      </c>
      <c r="K30" s="591">
        <f>SUM(B30:J30)</f>
        <v>1114</v>
      </c>
      <c r="M30" s="592"/>
      <c r="N30" s="716" t="s">
        <v>397</v>
      </c>
      <c r="O30" s="681">
        <v>7</v>
      </c>
      <c r="P30" s="681">
        <v>10</v>
      </c>
      <c r="Q30" s="681">
        <v>92</v>
      </c>
      <c r="R30" s="681">
        <v>10</v>
      </c>
      <c r="S30" s="681">
        <v>1</v>
      </c>
      <c r="T30" s="681">
        <v>2</v>
      </c>
      <c r="U30" s="681">
        <v>4</v>
      </c>
      <c r="V30" s="681">
        <v>1</v>
      </c>
      <c r="W30" s="681"/>
      <c r="X30" s="681"/>
      <c r="Y30" s="681">
        <v>1</v>
      </c>
      <c r="Z30" s="681"/>
      <c r="AA30" s="681">
        <v>2</v>
      </c>
      <c r="AB30" s="681">
        <v>2</v>
      </c>
      <c r="AC30" s="681"/>
      <c r="AD30" s="681">
        <v>1</v>
      </c>
      <c r="AE30" s="681"/>
      <c r="AF30" s="681">
        <v>63</v>
      </c>
      <c r="AG30" s="681">
        <v>3</v>
      </c>
      <c r="AH30" s="681">
        <v>31</v>
      </c>
      <c r="AI30" s="681"/>
      <c r="AJ30" s="681"/>
      <c r="AK30" s="592"/>
      <c r="AL30" s="377" t="s">
        <v>397</v>
      </c>
      <c r="AM30" s="592">
        <f t="shared" si="28"/>
        <v>109</v>
      </c>
      <c r="AN30" s="402">
        <f t="shared" si="29"/>
        <v>11</v>
      </c>
      <c r="AO30" s="402">
        <f t="shared" si="30"/>
        <v>7</v>
      </c>
      <c r="AP30" s="402">
        <f t="shared" si="31"/>
        <v>1</v>
      </c>
      <c r="AQ30" s="402">
        <f t="shared" si="32"/>
        <v>4</v>
      </c>
      <c r="AR30" s="402">
        <f t="shared" si="33"/>
        <v>1</v>
      </c>
      <c r="AS30" s="402">
        <f t="shared" si="34"/>
        <v>63</v>
      </c>
      <c r="AT30" s="402">
        <f t="shared" si="35"/>
        <v>3</v>
      </c>
      <c r="AU30" s="402">
        <f t="shared" si="36"/>
        <v>31</v>
      </c>
      <c r="AV30" s="85">
        <f t="shared" si="37"/>
        <v>230</v>
      </c>
    </row>
    <row r="31" spans="1:50" s="21" customFormat="1" x14ac:dyDescent="0.15">
      <c r="A31" s="994"/>
      <c r="B31" s="594">
        <f>B30/B$44</f>
        <v>0.15629522431259044</v>
      </c>
      <c r="C31" s="594">
        <f t="shared" ref="C31:K31" si="39">C30/C$44</f>
        <v>0.88734353268428368</v>
      </c>
      <c r="D31" s="594">
        <f t="shared" si="39"/>
        <v>0.10810810810810811</v>
      </c>
      <c r="E31" s="594">
        <f t="shared" si="39"/>
        <v>2.768166089965398E-2</v>
      </c>
      <c r="F31" s="594">
        <f t="shared" si="39"/>
        <v>6.7340067340067337E-3</v>
      </c>
      <c r="G31" s="594">
        <f t="shared" si="39"/>
        <v>2.3353573096683792E-3</v>
      </c>
      <c r="H31" s="594">
        <f t="shared" si="39"/>
        <v>8.4023668639053251E-2</v>
      </c>
      <c r="I31" s="594">
        <f t="shared" si="39"/>
        <v>6.9686411149825784E-3</v>
      </c>
      <c r="J31" s="594">
        <f t="shared" si="39"/>
        <v>0.15120711562897077</v>
      </c>
      <c r="K31" s="594">
        <f t="shared" si="39"/>
        <v>0.127110908261068</v>
      </c>
      <c r="M31" s="592"/>
      <c r="N31" s="717" t="s">
        <v>398</v>
      </c>
      <c r="O31" s="658">
        <v>26</v>
      </c>
      <c r="P31" s="658">
        <v>18</v>
      </c>
      <c r="Q31" s="658">
        <v>44</v>
      </c>
      <c r="R31" s="658">
        <v>320</v>
      </c>
      <c r="S31" s="658">
        <v>143</v>
      </c>
      <c r="T31" s="658">
        <v>27</v>
      </c>
      <c r="U31" s="658">
        <v>8</v>
      </c>
      <c r="V31" s="658">
        <v>13</v>
      </c>
      <c r="W31" s="658">
        <v>10</v>
      </c>
      <c r="X31" s="658">
        <v>8</v>
      </c>
      <c r="Y31" s="658">
        <v>3</v>
      </c>
      <c r="Z31" s="658">
        <v>1</v>
      </c>
      <c r="AA31" s="658">
        <v>2</v>
      </c>
      <c r="AB31" s="658">
        <v>1</v>
      </c>
      <c r="AC31" s="658">
        <v>2</v>
      </c>
      <c r="AD31" s="658">
        <v>1</v>
      </c>
      <c r="AE31" s="658">
        <v>1</v>
      </c>
      <c r="AF31" s="658">
        <v>111</v>
      </c>
      <c r="AG31" s="658">
        <v>6</v>
      </c>
      <c r="AH31" s="658">
        <v>93</v>
      </c>
      <c r="AI31" s="658"/>
      <c r="AJ31" s="681"/>
      <c r="AK31" s="592"/>
      <c r="AL31" s="377" t="s">
        <v>398</v>
      </c>
      <c r="AM31" s="592">
        <f t="shared" si="28"/>
        <v>88</v>
      </c>
      <c r="AN31" s="402">
        <f t="shared" si="29"/>
        <v>463</v>
      </c>
      <c r="AO31" s="402">
        <f t="shared" si="30"/>
        <v>58</v>
      </c>
      <c r="AP31" s="402">
        <f t="shared" si="31"/>
        <v>12</v>
      </c>
      <c r="AQ31" s="402">
        <f t="shared" si="32"/>
        <v>3</v>
      </c>
      <c r="AR31" s="402">
        <f t="shared" si="33"/>
        <v>4</v>
      </c>
      <c r="AS31" s="402">
        <f t="shared" si="34"/>
        <v>111</v>
      </c>
      <c r="AT31" s="402">
        <f t="shared" si="35"/>
        <v>6</v>
      </c>
      <c r="AU31" s="402">
        <f t="shared" si="36"/>
        <v>93</v>
      </c>
      <c r="AV31" s="85">
        <f t="shared" si="37"/>
        <v>838</v>
      </c>
    </row>
    <row r="32" spans="1:50" s="21" customFormat="1" x14ac:dyDescent="0.15">
      <c r="A32" s="976" t="s">
        <v>389</v>
      </c>
      <c r="B32" s="590">
        <f>SUM(AM33:AM36)</f>
        <v>21</v>
      </c>
      <c r="C32" s="590">
        <f t="shared" ref="C32:J32" si="40">SUM(AN33:AN36)</f>
        <v>21</v>
      </c>
      <c r="D32" s="590">
        <f t="shared" si="40"/>
        <v>466</v>
      </c>
      <c r="E32" s="590">
        <f t="shared" si="40"/>
        <v>30</v>
      </c>
      <c r="F32" s="590">
        <f t="shared" si="40"/>
        <v>4</v>
      </c>
      <c r="G32" s="590">
        <f t="shared" si="40"/>
        <v>8</v>
      </c>
      <c r="H32" s="590">
        <f t="shared" si="40"/>
        <v>94</v>
      </c>
      <c r="I32" s="590">
        <f t="shared" si="40"/>
        <v>4</v>
      </c>
      <c r="J32" s="590">
        <f t="shared" si="40"/>
        <v>82</v>
      </c>
      <c r="K32" s="591">
        <f>SUM(B32:J32)</f>
        <v>730</v>
      </c>
      <c r="M32" s="592"/>
      <c r="N32" s="716" t="s">
        <v>399</v>
      </c>
      <c r="O32" s="681">
        <v>1</v>
      </c>
      <c r="P32" s="681">
        <v>3</v>
      </c>
      <c r="Q32" s="681">
        <v>16</v>
      </c>
      <c r="R32" s="681">
        <v>45</v>
      </c>
      <c r="S32" s="681">
        <v>130</v>
      </c>
      <c r="T32" s="681">
        <v>8</v>
      </c>
      <c r="U32" s="681">
        <v>4</v>
      </c>
      <c r="V32" s="681">
        <v>3</v>
      </c>
      <c r="W32" s="681">
        <v>3</v>
      </c>
      <c r="X32" s="681">
        <v>3</v>
      </c>
      <c r="Y32" s="681"/>
      <c r="Z32" s="681">
        <v>1</v>
      </c>
      <c r="AA32" s="681">
        <v>1</v>
      </c>
      <c r="AB32" s="681"/>
      <c r="AC32" s="681">
        <v>1</v>
      </c>
      <c r="AD32" s="681"/>
      <c r="AE32" s="681"/>
      <c r="AF32" s="681">
        <v>31</v>
      </c>
      <c r="AG32" s="681"/>
      <c r="AH32" s="681">
        <v>25</v>
      </c>
      <c r="AI32" s="681">
        <v>1</v>
      </c>
      <c r="AJ32" s="681"/>
      <c r="AK32" s="592"/>
      <c r="AL32" s="377" t="s">
        <v>399</v>
      </c>
      <c r="AM32" s="592">
        <f t="shared" si="28"/>
        <v>20</v>
      </c>
      <c r="AN32" s="402">
        <f t="shared" si="29"/>
        <v>175</v>
      </c>
      <c r="AO32" s="402">
        <f t="shared" si="30"/>
        <v>18</v>
      </c>
      <c r="AP32" s="402">
        <f t="shared" si="31"/>
        <v>4</v>
      </c>
      <c r="AQ32" s="402">
        <f t="shared" si="32"/>
        <v>1</v>
      </c>
      <c r="AR32" s="402">
        <f t="shared" si="33"/>
        <v>1</v>
      </c>
      <c r="AS32" s="402">
        <f t="shared" si="34"/>
        <v>31</v>
      </c>
      <c r="AT32" s="402">
        <f t="shared" si="35"/>
        <v>0</v>
      </c>
      <c r="AU32" s="402">
        <f t="shared" si="36"/>
        <v>26</v>
      </c>
      <c r="AV32" s="85">
        <f t="shared" si="37"/>
        <v>276</v>
      </c>
    </row>
    <row r="33" spans="1:48" s="21" customFormat="1" x14ac:dyDescent="0.15">
      <c r="A33" s="994"/>
      <c r="B33" s="594">
        <f>B32/B$44</f>
        <v>3.0390738060781478E-2</v>
      </c>
      <c r="C33" s="594">
        <f t="shared" ref="C33:K33" si="41">C32/C$44</f>
        <v>2.9207232267037551E-2</v>
      </c>
      <c r="D33" s="594">
        <f t="shared" si="41"/>
        <v>0.66287339971550496</v>
      </c>
      <c r="E33" s="594">
        <f t="shared" si="41"/>
        <v>5.1903114186851208E-2</v>
      </c>
      <c r="F33" s="594">
        <f t="shared" si="41"/>
        <v>6.7340067340067337E-3</v>
      </c>
      <c r="G33" s="594">
        <f t="shared" si="41"/>
        <v>3.7365716954694066E-3</v>
      </c>
      <c r="H33" s="594">
        <f t="shared" si="41"/>
        <v>5.562130177514793E-2</v>
      </c>
      <c r="I33" s="594">
        <f t="shared" si="41"/>
        <v>4.6457607433217189E-3</v>
      </c>
      <c r="J33" s="594">
        <f t="shared" si="41"/>
        <v>0.10419313850063533</v>
      </c>
      <c r="K33" s="594">
        <f t="shared" si="41"/>
        <v>8.329529895025102E-2</v>
      </c>
      <c r="M33" s="592"/>
      <c r="N33" s="717" t="s">
        <v>400</v>
      </c>
      <c r="O33" s="658">
        <v>2</v>
      </c>
      <c r="P33" s="658">
        <v>10</v>
      </c>
      <c r="Q33" s="658">
        <v>5</v>
      </c>
      <c r="R33" s="658">
        <v>6</v>
      </c>
      <c r="S33" s="658">
        <v>10</v>
      </c>
      <c r="T33" s="658">
        <v>138</v>
      </c>
      <c r="U33" s="658">
        <v>34</v>
      </c>
      <c r="V33" s="658">
        <v>26</v>
      </c>
      <c r="W33" s="658">
        <v>18</v>
      </c>
      <c r="X33" s="658">
        <v>13</v>
      </c>
      <c r="Y33" s="658">
        <v>3</v>
      </c>
      <c r="Z33" s="658">
        <v>2</v>
      </c>
      <c r="AA33" s="658">
        <v>2</v>
      </c>
      <c r="AB33" s="658"/>
      <c r="AC33" s="658">
        <v>3</v>
      </c>
      <c r="AD33" s="658"/>
      <c r="AE33" s="658">
        <v>2</v>
      </c>
      <c r="AF33" s="658">
        <v>39</v>
      </c>
      <c r="AG33" s="658">
        <v>4</v>
      </c>
      <c r="AH33" s="658">
        <v>45</v>
      </c>
      <c r="AI33" s="658">
        <v>2</v>
      </c>
      <c r="AJ33" s="681"/>
      <c r="AK33" s="592"/>
      <c r="AL33" s="377" t="s">
        <v>400</v>
      </c>
      <c r="AM33" s="592">
        <f t="shared" si="28"/>
        <v>17</v>
      </c>
      <c r="AN33" s="402">
        <f t="shared" si="29"/>
        <v>16</v>
      </c>
      <c r="AO33" s="402">
        <f t="shared" si="30"/>
        <v>216</v>
      </c>
      <c r="AP33" s="402">
        <f t="shared" si="31"/>
        <v>18</v>
      </c>
      <c r="AQ33" s="402">
        <f t="shared" si="32"/>
        <v>2</v>
      </c>
      <c r="AR33" s="402">
        <f t="shared" si="33"/>
        <v>5</v>
      </c>
      <c r="AS33" s="402">
        <f t="shared" si="34"/>
        <v>39</v>
      </c>
      <c r="AT33" s="402">
        <f t="shared" si="35"/>
        <v>4</v>
      </c>
      <c r="AU33" s="402">
        <f t="shared" si="36"/>
        <v>47</v>
      </c>
      <c r="AV33" s="85">
        <f t="shared" si="37"/>
        <v>364</v>
      </c>
    </row>
    <row r="34" spans="1:48" s="21" customFormat="1" x14ac:dyDescent="0.15">
      <c r="A34" s="976" t="s">
        <v>390</v>
      </c>
      <c r="B34" s="590">
        <f t="shared" ref="B34:J34" si="42">SUM(AM37:AM39)</f>
        <v>6</v>
      </c>
      <c r="C34" s="590">
        <f t="shared" si="42"/>
        <v>1</v>
      </c>
      <c r="D34" s="590">
        <f t="shared" si="42"/>
        <v>20</v>
      </c>
      <c r="E34" s="590">
        <f t="shared" si="42"/>
        <v>356</v>
      </c>
      <c r="F34" s="590">
        <f t="shared" si="42"/>
        <v>15</v>
      </c>
      <c r="G34" s="590">
        <f t="shared" si="42"/>
        <v>4</v>
      </c>
      <c r="H34" s="590">
        <f t="shared" si="42"/>
        <v>140</v>
      </c>
      <c r="I34" s="590">
        <f t="shared" si="42"/>
        <v>5</v>
      </c>
      <c r="J34" s="590">
        <f t="shared" si="42"/>
        <v>20</v>
      </c>
      <c r="K34" s="591">
        <f>SUM(B34:J34)</f>
        <v>567</v>
      </c>
      <c r="M34" s="592"/>
      <c r="N34" s="716" t="s">
        <v>401</v>
      </c>
      <c r="O34" s="681">
        <v>1</v>
      </c>
      <c r="P34" s="681"/>
      <c r="Q34" s="681"/>
      <c r="R34" s="681"/>
      <c r="S34" s="681">
        <v>1</v>
      </c>
      <c r="T34" s="681">
        <v>11</v>
      </c>
      <c r="U34" s="681">
        <v>47</v>
      </c>
      <c r="V34" s="681">
        <v>12</v>
      </c>
      <c r="W34" s="681">
        <v>21</v>
      </c>
      <c r="X34" s="681">
        <v>2</v>
      </c>
      <c r="Y34" s="681">
        <v>1</v>
      </c>
      <c r="Z34" s="681"/>
      <c r="AA34" s="681"/>
      <c r="AB34" s="681"/>
      <c r="AC34" s="681"/>
      <c r="AD34" s="681">
        <v>2</v>
      </c>
      <c r="AE34" s="681">
        <v>1</v>
      </c>
      <c r="AF34" s="681">
        <v>9</v>
      </c>
      <c r="AG34" s="681"/>
      <c r="AH34" s="681">
        <v>5</v>
      </c>
      <c r="AI34" s="681"/>
      <c r="AJ34" s="681"/>
      <c r="AK34" s="592"/>
      <c r="AL34" s="377" t="s">
        <v>401</v>
      </c>
      <c r="AM34" s="592">
        <f t="shared" si="28"/>
        <v>1</v>
      </c>
      <c r="AN34" s="402">
        <f t="shared" si="29"/>
        <v>1</v>
      </c>
      <c r="AO34" s="402">
        <f t="shared" si="30"/>
        <v>91</v>
      </c>
      <c r="AP34" s="402">
        <f t="shared" si="31"/>
        <v>3</v>
      </c>
      <c r="AQ34" s="402">
        <f t="shared" si="32"/>
        <v>0</v>
      </c>
      <c r="AR34" s="402">
        <f t="shared" si="33"/>
        <v>3</v>
      </c>
      <c r="AS34" s="402">
        <f t="shared" si="34"/>
        <v>9</v>
      </c>
      <c r="AT34" s="402">
        <f t="shared" si="35"/>
        <v>0</v>
      </c>
      <c r="AU34" s="402">
        <f t="shared" si="36"/>
        <v>5</v>
      </c>
      <c r="AV34" s="85">
        <f t="shared" si="37"/>
        <v>113</v>
      </c>
    </row>
    <row r="35" spans="1:48" s="21" customFormat="1" x14ac:dyDescent="0.15">
      <c r="A35" s="994"/>
      <c r="B35" s="594">
        <f>B34/B$44</f>
        <v>8.6830680173661367E-3</v>
      </c>
      <c r="C35" s="594">
        <f t="shared" ref="C35:K35" si="43">C34/C$44</f>
        <v>1.3908205841446453E-3</v>
      </c>
      <c r="D35" s="594">
        <f t="shared" si="43"/>
        <v>2.8449502133712661E-2</v>
      </c>
      <c r="E35" s="594">
        <f t="shared" si="43"/>
        <v>0.61591695501730104</v>
      </c>
      <c r="F35" s="594">
        <f t="shared" si="43"/>
        <v>2.5252525252525252E-2</v>
      </c>
      <c r="G35" s="594">
        <f t="shared" si="43"/>
        <v>1.8682858477347033E-3</v>
      </c>
      <c r="H35" s="594">
        <f t="shared" si="43"/>
        <v>8.2840236686390539E-2</v>
      </c>
      <c r="I35" s="594">
        <f t="shared" si="43"/>
        <v>5.8072009291521487E-3</v>
      </c>
      <c r="J35" s="594">
        <f t="shared" si="43"/>
        <v>2.5412960609911054E-2</v>
      </c>
      <c r="K35" s="594">
        <f t="shared" si="43"/>
        <v>6.4696485623003189E-2</v>
      </c>
      <c r="M35" s="592"/>
      <c r="N35" s="717" t="s">
        <v>402</v>
      </c>
      <c r="O35" s="658">
        <v>1</v>
      </c>
      <c r="P35" s="658"/>
      <c r="Q35" s="658">
        <v>2</v>
      </c>
      <c r="R35" s="658">
        <v>1</v>
      </c>
      <c r="S35" s="658"/>
      <c r="T35" s="658">
        <v>3</v>
      </c>
      <c r="U35" s="658">
        <v>4</v>
      </c>
      <c r="V35" s="658">
        <v>76</v>
      </c>
      <c r="W35" s="658">
        <v>3</v>
      </c>
      <c r="X35" s="658">
        <v>2</v>
      </c>
      <c r="Y35" s="658">
        <v>1</v>
      </c>
      <c r="Z35" s="658"/>
      <c r="AA35" s="658">
        <v>2</v>
      </c>
      <c r="AB35" s="658"/>
      <c r="AC35" s="658"/>
      <c r="AD35" s="658"/>
      <c r="AE35" s="658"/>
      <c r="AF35" s="658">
        <v>36</v>
      </c>
      <c r="AG35" s="658"/>
      <c r="AH35" s="658">
        <v>2</v>
      </c>
      <c r="AI35" s="658"/>
      <c r="AJ35" s="681"/>
      <c r="AK35" s="592"/>
      <c r="AL35" s="377" t="s">
        <v>402</v>
      </c>
      <c r="AM35" s="592">
        <f t="shared" si="28"/>
        <v>3</v>
      </c>
      <c r="AN35" s="402">
        <f t="shared" si="29"/>
        <v>1</v>
      </c>
      <c r="AO35" s="402">
        <f t="shared" si="30"/>
        <v>86</v>
      </c>
      <c r="AP35" s="402">
        <f t="shared" si="31"/>
        <v>3</v>
      </c>
      <c r="AQ35" s="402">
        <f t="shared" si="32"/>
        <v>2</v>
      </c>
      <c r="AR35" s="402">
        <f t="shared" si="33"/>
        <v>0</v>
      </c>
      <c r="AS35" s="402">
        <f t="shared" si="34"/>
        <v>36</v>
      </c>
      <c r="AT35" s="402">
        <f t="shared" si="35"/>
        <v>0</v>
      </c>
      <c r="AU35" s="402">
        <f t="shared" si="36"/>
        <v>2</v>
      </c>
      <c r="AV35" s="85">
        <f t="shared" si="37"/>
        <v>133</v>
      </c>
    </row>
    <row r="36" spans="1:48" s="21" customFormat="1" x14ac:dyDescent="0.15">
      <c r="A36" s="976" t="s">
        <v>391</v>
      </c>
      <c r="B36" s="590">
        <f t="shared" ref="B36:J36" si="44">SUM(AM40:AM41)</f>
        <v>5</v>
      </c>
      <c r="C36" s="590">
        <f t="shared" si="44"/>
        <v>1</v>
      </c>
      <c r="D36" s="590">
        <f t="shared" si="44"/>
        <v>14</v>
      </c>
      <c r="E36" s="590">
        <f t="shared" si="44"/>
        <v>36</v>
      </c>
      <c r="F36" s="590">
        <f t="shared" si="44"/>
        <v>376</v>
      </c>
      <c r="G36" s="590">
        <f t="shared" si="44"/>
        <v>15</v>
      </c>
      <c r="H36" s="590">
        <f t="shared" si="44"/>
        <v>180</v>
      </c>
      <c r="I36" s="590">
        <f t="shared" si="44"/>
        <v>85</v>
      </c>
      <c r="J36" s="590">
        <f t="shared" si="44"/>
        <v>45</v>
      </c>
      <c r="K36" s="591">
        <f>SUM(B36:J36)</f>
        <v>757</v>
      </c>
      <c r="M36" s="592"/>
      <c r="N36" s="716" t="s">
        <v>403</v>
      </c>
      <c r="O36" s="681"/>
      <c r="P36" s="681"/>
      <c r="Q36" s="681"/>
      <c r="R36" s="681">
        <v>2</v>
      </c>
      <c r="S36" s="681">
        <v>1</v>
      </c>
      <c r="T36" s="681">
        <v>5</v>
      </c>
      <c r="U36" s="681">
        <v>4</v>
      </c>
      <c r="V36" s="681">
        <v>4</v>
      </c>
      <c r="W36" s="681">
        <v>60</v>
      </c>
      <c r="X36" s="681">
        <v>6</v>
      </c>
      <c r="Y36" s="681"/>
      <c r="Z36" s="681"/>
      <c r="AA36" s="681"/>
      <c r="AB36" s="681"/>
      <c r="AC36" s="681"/>
      <c r="AD36" s="681"/>
      <c r="AE36" s="681"/>
      <c r="AF36" s="681">
        <v>10</v>
      </c>
      <c r="AG36" s="681"/>
      <c r="AH36" s="681">
        <v>28</v>
      </c>
      <c r="AI36" s="681"/>
      <c r="AJ36" s="681"/>
      <c r="AK36" s="592"/>
      <c r="AL36" s="377" t="s">
        <v>403</v>
      </c>
      <c r="AM36" s="592">
        <f t="shared" si="28"/>
        <v>0</v>
      </c>
      <c r="AN36" s="402">
        <f t="shared" si="29"/>
        <v>3</v>
      </c>
      <c r="AO36" s="402">
        <f t="shared" si="30"/>
        <v>73</v>
      </c>
      <c r="AP36" s="402">
        <f t="shared" si="31"/>
        <v>6</v>
      </c>
      <c r="AQ36" s="402">
        <f t="shared" si="32"/>
        <v>0</v>
      </c>
      <c r="AR36" s="402">
        <f t="shared" si="33"/>
        <v>0</v>
      </c>
      <c r="AS36" s="402">
        <f t="shared" si="34"/>
        <v>10</v>
      </c>
      <c r="AT36" s="402">
        <f t="shared" si="35"/>
        <v>0</v>
      </c>
      <c r="AU36" s="402">
        <f t="shared" si="36"/>
        <v>28</v>
      </c>
      <c r="AV36" s="85">
        <f t="shared" si="37"/>
        <v>120</v>
      </c>
    </row>
    <row r="37" spans="1:48" s="21" customFormat="1" x14ac:dyDescent="0.15">
      <c r="A37" s="994"/>
      <c r="B37" s="594">
        <f>B36/B$44</f>
        <v>7.2358900144717797E-3</v>
      </c>
      <c r="C37" s="594">
        <f t="shared" ref="C37:K37" si="45">C36/C$44</f>
        <v>1.3908205841446453E-3</v>
      </c>
      <c r="D37" s="594">
        <f t="shared" si="45"/>
        <v>1.9914651493598862E-2</v>
      </c>
      <c r="E37" s="594">
        <f t="shared" si="45"/>
        <v>6.228373702422145E-2</v>
      </c>
      <c r="F37" s="594">
        <f t="shared" si="45"/>
        <v>0.632996632996633</v>
      </c>
      <c r="G37" s="594">
        <f t="shared" si="45"/>
        <v>7.0060719290051376E-3</v>
      </c>
      <c r="H37" s="594">
        <f t="shared" si="45"/>
        <v>0.10650887573964497</v>
      </c>
      <c r="I37" s="594">
        <f t="shared" si="45"/>
        <v>9.8722415795586521E-2</v>
      </c>
      <c r="J37" s="594">
        <f t="shared" si="45"/>
        <v>5.7179161372299871E-2</v>
      </c>
      <c r="K37" s="594">
        <f t="shared" si="45"/>
        <v>8.6376083979917848E-2</v>
      </c>
      <c r="M37" s="592"/>
      <c r="N37" s="717" t="s">
        <v>404</v>
      </c>
      <c r="O37" s="658">
        <v>1</v>
      </c>
      <c r="P37" s="658">
        <v>2</v>
      </c>
      <c r="Q37" s="658">
        <v>1</v>
      </c>
      <c r="R37" s="658">
        <v>1</v>
      </c>
      <c r="S37" s="658"/>
      <c r="T37" s="658"/>
      <c r="U37" s="658">
        <v>4</v>
      </c>
      <c r="V37" s="658">
        <v>5</v>
      </c>
      <c r="W37" s="658">
        <v>7</v>
      </c>
      <c r="X37" s="658">
        <v>193</v>
      </c>
      <c r="Y37" s="658">
        <v>16</v>
      </c>
      <c r="Z37" s="658"/>
      <c r="AA37" s="658"/>
      <c r="AB37" s="658">
        <v>1</v>
      </c>
      <c r="AC37" s="658"/>
      <c r="AD37" s="658"/>
      <c r="AE37" s="658"/>
      <c r="AF37" s="658">
        <v>99</v>
      </c>
      <c r="AG37" s="658">
        <v>3</v>
      </c>
      <c r="AH37" s="658">
        <v>9</v>
      </c>
      <c r="AI37" s="658"/>
      <c r="AJ37" s="681"/>
      <c r="AK37" s="592"/>
      <c r="AL37" s="377" t="s">
        <v>404</v>
      </c>
      <c r="AM37" s="592">
        <f t="shared" si="28"/>
        <v>4</v>
      </c>
      <c r="AN37" s="402">
        <f t="shared" si="29"/>
        <v>1</v>
      </c>
      <c r="AO37" s="402">
        <f t="shared" si="30"/>
        <v>16</v>
      </c>
      <c r="AP37" s="402">
        <f t="shared" si="31"/>
        <v>209</v>
      </c>
      <c r="AQ37" s="402">
        <f t="shared" si="32"/>
        <v>1</v>
      </c>
      <c r="AR37" s="402">
        <f t="shared" si="33"/>
        <v>0</v>
      </c>
      <c r="AS37" s="402">
        <f t="shared" si="34"/>
        <v>99</v>
      </c>
      <c r="AT37" s="402">
        <f t="shared" si="35"/>
        <v>3</v>
      </c>
      <c r="AU37" s="402">
        <f t="shared" si="36"/>
        <v>9</v>
      </c>
      <c r="AV37" s="85">
        <f t="shared" si="37"/>
        <v>342</v>
      </c>
    </row>
    <row r="38" spans="1:48" s="21" customFormat="1" x14ac:dyDescent="0.15">
      <c r="A38" s="976" t="s">
        <v>392</v>
      </c>
      <c r="B38" s="590">
        <f t="shared" ref="B38:J38" si="46">SUM(AM42:AM44)</f>
        <v>31</v>
      </c>
      <c r="C38" s="590">
        <f t="shared" si="46"/>
        <v>21</v>
      </c>
      <c r="D38" s="590">
        <f t="shared" si="46"/>
        <v>93</v>
      </c>
      <c r="E38" s="590">
        <f t="shared" si="46"/>
        <v>107</v>
      </c>
      <c r="F38" s="590">
        <f t="shared" si="46"/>
        <v>75</v>
      </c>
      <c r="G38" s="590">
        <f t="shared" si="46"/>
        <v>2067</v>
      </c>
      <c r="H38" s="590">
        <f t="shared" si="46"/>
        <v>599</v>
      </c>
      <c r="I38" s="590">
        <f t="shared" si="46"/>
        <v>223</v>
      </c>
      <c r="J38" s="590">
        <f t="shared" si="46"/>
        <v>293</v>
      </c>
      <c r="K38" s="591">
        <f>SUM(B38:J38)</f>
        <v>3509</v>
      </c>
      <c r="M38" s="592"/>
      <c r="N38" s="716" t="s">
        <v>565</v>
      </c>
      <c r="O38" s="681"/>
      <c r="P38" s="681"/>
      <c r="Q38" s="681"/>
      <c r="R38" s="681"/>
      <c r="S38" s="681"/>
      <c r="T38" s="681"/>
      <c r="U38" s="681"/>
      <c r="V38" s="681">
        <v>1</v>
      </c>
      <c r="W38" s="681"/>
      <c r="X38" s="681">
        <v>13</v>
      </c>
      <c r="Y38" s="681">
        <v>84</v>
      </c>
      <c r="Z38" s="681">
        <v>6</v>
      </c>
      <c r="AA38" s="681">
        <v>9</v>
      </c>
      <c r="AB38" s="681"/>
      <c r="AC38" s="681"/>
      <c r="AD38" s="681">
        <v>1</v>
      </c>
      <c r="AE38" s="681">
        <v>1</v>
      </c>
      <c r="AF38" s="681">
        <v>18</v>
      </c>
      <c r="AG38" s="681"/>
      <c r="AH38" s="681">
        <v>4</v>
      </c>
      <c r="AI38" s="681"/>
      <c r="AJ38" s="681"/>
      <c r="AK38" s="592"/>
      <c r="AL38" s="377" t="s">
        <v>565</v>
      </c>
      <c r="AM38" s="402">
        <f t="shared" si="28"/>
        <v>0</v>
      </c>
      <c r="AN38" s="402">
        <f t="shared" si="29"/>
        <v>0</v>
      </c>
      <c r="AO38" s="402">
        <f t="shared" si="30"/>
        <v>1</v>
      </c>
      <c r="AP38" s="402">
        <f t="shared" si="31"/>
        <v>103</v>
      </c>
      <c r="AQ38" s="402">
        <f t="shared" si="32"/>
        <v>9</v>
      </c>
      <c r="AR38" s="402">
        <f t="shared" si="33"/>
        <v>2</v>
      </c>
      <c r="AS38" s="402">
        <f t="shared" si="34"/>
        <v>18</v>
      </c>
      <c r="AT38" s="402">
        <f t="shared" si="35"/>
        <v>0</v>
      </c>
      <c r="AU38" s="402">
        <f t="shared" si="36"/>
        <v>4</v>
      </c>
      <c r="AV38" s="85">
        <f t="shared" si="37"/>
        <v>137</v>
      </c>
    </row>
    <row r="39" spans="1:48" s="21" customFormat="1" x14ac:dyDescent="0.15">
      <c r="A39" s="994"/>
      <c r="B39" s="594">
        <f>B38/B$44</f>
        <v>4.4862518089725037E-2</v>
      </c>
      <c r="C39" s="594">
        <f t="shared" ref="C39:K39" si="47">C38/C$44</f>
        <v>2.9207232267037551E-2</v>
      </c>
      <c r="D39" s="594">
        <f t="shared" si="47"/>
        <v>0.13229018492176386</v>
      </c>
      <c r="E39" s="594">
        <f t="shared" si="47"/>
        <v>0.18512110726643599</v>
      </c>
      <c r="F39" s="594">
        <f t="shared" si="47"/>
        <v>0.12626262626262627</v>
      </c>
      <c r="G39" s="594">
        <f t="shared" si="47"/>
        <v>0.96543671181690793</v>
      </c>
      <c r="H39" s="594">
        <f t="shared" si="47"/>
        <v>0.35443786982248521</v>
      </c>
      <c r="I39" s="594">
        <f t="shared" si="47"/>
        <v>0.25900116144018581</v>
      </c>
      <c r="J39" s="594">
        <f t="shared" si="47"/>
        <v>0.37229987293519695</v>
      </c>
      <c r="K39" s="594">
        <f t="shared" si="47"/>
        <v>0.40038795070743954</v>
      </c>
      <c r="M39" s="592"/>
      <c r="N39" s="717" t="s">
        <v>566</v>
      </c>
      <c r="O39" s="658">
        <v>1</v>
      </c>
      <c r="P39" s="658">
        <v>1</v>
      </c>
      <c r="Q39" s="658"/>
      <c r="R39" s="658"/>
      <c r="S39" s="658"/>
      <c r="T39" s="658"/>
      <c r="U39" s="658">
        <v>1</v>
      </c>
      <c r="V39" s="658">
        <v>2</v>
      </c>
      <c r="W39" s="658"/>
      <c r="X39" s="658">
        <v>12</v>
      </c>
      <c r="Y39" s="658">
        <v>10</v>
      </c>
      <c r="Z39" s="658">
        <v>22</v>
      </c>
      <c r="AA39" s="658">
        <v>3</v>
      </c>
      <c r="AB39" s="658">
        <v>2</v>
      </c>
      <c r="AC39" s="658">
        <v>1</v>
      </c>
      <c r="AD39" s="658"/>
      <c r="AE39" s="658">
        <v>1</v>
      </c>
      <c r="AF39" s="658">
        <v>23</v>
      </c>
      <c r="AG39" s="658">
        <v>2</v>
      </c>
      <c r="AH39" s="658">
        <v>7</v>
      </c>
      <c r="AI39" s="658"/>
      <c r="AJ39" s="681"/>
      <c r="AK39" s="592"/>
      <c r="AL39" s="377" t="s">
        <v>566</v>
      </c>
      <c r="AM39" s="592">
        <f t="shared" si="28"/>
        <v>2</v>
      </c>
      <c r="AN39" s="402">
        <f t="shared" si="29"/>
        <v>0</v>
      </c>
      <c r="AO39" s="402">
        <f t="shared" si="30"/>
        <v>3</v>
      </c>
      <c r="AP39" s="402">
        <f t="shared" si="31"/>
        <v>44</v>
      </c>
      <c r="AQ39" s="402">
        <f t="shared" si="32"/>
        <v>5</v>
      </c>
      <c r="AR39" s="402">
        <f t="shared" si="33"/>
        <v>2</v>
      </c>
      <c r="AS39" s="402">
        <f t="shared" si="34"/>
        <v>23</v>
      </c>
      <c r="AT39" s="402">
        <f t="shared" si="35"/>
        <v>2</v>
      </c>
      <c r="AU39" s="402">
        <f t="shared" si="36"/>
        <v>7</v>
      </c>
      <c r="AV39" s="85">
        <f t="shared" si="37"/>
        <v>88</v>
      </c>
    </row>
    <row r="40" spans="1:48" s="21" customFormat="1" x14ac:dyDescent="0.15">
      <c r="A40" s="976" t="s">
        <v>485</v>
      </c>
      <c r="B40" s="590">
        <f t="shared" ref="B40:J40" si="48">AM45</f>
        <v>0</v>
      </c>
      <c r="C40" s="590">
        <f t="shared" si="48"/>
        <v>0</v>
      </c>
      <c r="D40" s="590">
        <f t="shared" si="48"/>
        <v>0</v>
      </c>
      <c r="E40" s="590">
        <f t="shared" si="48"/>
        <v>0</v>
      </c>
      <c r="F40" s="590">
        <f t="shared" si="48"/>
        <v>0</v>
      </c>
      <c r="G40" s="590">
        <f t="shared" si="48"/>
        <v>0</v>
      </c>
      <c r="H40" s="590">
        <f t="shared" si="48"/>
        <v>1</v>
      </c>
      <c r="I40" s="590">
        <f t="shared" si="48"/>
        <v>0</v>
      </c>
      <c r="J40" s="590">
        <f t="shared" si="48"/>
        <v>0</v>
      </c>
      <c r="K40" s="591">
        <f>SUM(B40:J40)</f>
        <v>1</v>
      </c>
      <c r="M40" s="592"/>
      <c r="N40" s="716" t="s">
        <v>567</v>
      </c>
      <c r="O40" s="681">
        <v>3</v>
      </c>
      <c r="P40" s="681"/>
      <c r="Q40" s="681"/>
      <c r="R40" s="681"/>
      <c r="S40" s="681"/>
      <c r="T40" s="681"/>
      <c r="U40" s="681"/>
      <c r="V40" s="681">
        <v>5</v>
      </c>
      <c r="W40" s="681"/>
      <c r="X40" s="681">
        <v>7</v>
      </c>
      <c r="Y40" s="681">
        <v>4</v>
      </c>
      <c r="Z40" s="681">
        <v>4</v>
      </c>
      <c r="AA40" s="681">
        <v>122</v>
      </c>
      <c r="AB40" s="681">
        <v>15</v>
      </c>
      <c r="AC40" s="681">
        <v>1</v>
      </c>
      <c r="AD40" s="681"/>
      <c r="AE40" s="681"/>
      <c r="AF40" s="681">
        <v>116</v>
      </c>
      <c r="AG40" s="681">
        <v>9</v>
      </c>
      <c r="AH40" s="681">
        <v>10</v>
      </c>
      <c r="AI40" s="681">
        <v>2</v>
      </c>
      <c r="AJ40" s="681"/>
      <c r="AK40" s="592"/>
      <c r="AL40" s="377" t="s">
        <v>567</v>
      </c>
      <c r="AM40" s="592">
        <f t="shared" si="28"/>
        <v>3</v>
      </c>
      <c r="AN40" s="402">
        <f t="shared" si="29"/>
        <v>0</v>
      </c>
      <c r="AO40" s="402">
        <f t="shared" si="30"/>
        <v>5</v>
      </c>
      <c r="AP40" s="402">
        <f t="shared" si="31"/>
        <v>15</v>
      </c>
      <c r="AQ40" s="402">
        <f t="shared" si="32"/>
        <v>137</v>
      </c>
      <c r="AR40" s="402">
        <f t="shared" si="33"/>
        <v>1</v>
      </c>
      <c r="AS40" s="402">
        <f t="shared" si="34"/>
        <v>116</v>
      </c>
      <c r="AT40" s="402">
        <f t="shared" si="35"/>
        <v>9</v>
      </c>
      <c r="AU40" s="402">
        <f t="shared" si="36"/>
        <v>12</v>
      </c>
      <c r="AV40" s="85">
        <f t="shared" si="37"/>
        <v>298</v>
      </c>
    </row>
    <row r="41" spans="1:48" s="21" customFormat="1" x14ac:dyDescent="0.15">
      <c r="A41" s="994"/>
      <c r="B41" s="594">
        <f>B40/B$44</f>
        <v>0</v>
      </c>
      <c r="C41" s="594">
        <f t="shared" ref="C41:K41" si="49">C40/C$44</f>
        <v>0</v>
      </c>
      <c r="D41" s="594">
        <f t="shared" si="49"/>
        <v>0</v>
      </c>
      <c r="E41" s="594">
        <f t="shared" si="49"/>
        <v>0</v>
      </c>
      <c r="F41" s="594">
        <f t="shared" si="49"/>
        <v>0</v>
      </c>
      <c r="G41" s="594">
        <f t="shared" si="49"/>
        <v>0</v>
      </c>
      <c r="H41" s="594">
        <f t="shared" si="49"/>
        <v>5.9171597633136095E-4</v>
      </c>
      <c r="I41" s="594">
        <f t="shared" si="49"/>
        <v>0</v>
      </c>
      <c r="J41" s="594">
        <f t="shared" si="49"/>
        <v>0</v>
      </c>
      <c r="K41" s="594">
        <f t="shared" si="49"/>
        <v>1.1410314924691921E-4</v>
      </c>
      <c r="M41" s="592"/>
      <c r="N41" s="717" t="s">
        <v>568</v>
      </c>
      <c r="O41" s="658"/>
      <c r="P41" s="658">
        <v>1</v>
      </c>
      <c r="Q41" s="658">
        <v>1</v>
      </c>
      <c r="R41" s="658">
        <v>1</v>
      </c>
      <c r="S41" s="658"/>
      <c r="T41" s="658">
        <v>4</v>
      </c>
      <c r="U41" s="658">
        <v>2</v>
      </c>
      <c r="V41" s="658">
        <v>2</v>
      </c>
      <c r="W41" s="658">
        <v>1</v>
      </c>
      <c r="X41" s="658">
        <v>7</v>
      </c>
      <c r="Y41" s="658">
        <v>13</v>
      </c>
      <c r="Z41" s="658">
        <v>1</v>
      </c>
      <c r="AA41" s="658">
        <v>31</v>
      </c>
      <c r="AB41" s="658">
        <v>208</v>
      </c>
      <c r="AC41" s="658">
        <v>9</v>
      </c>
      <c r="AD41" s="658">
        <v>3</v>
      </c>
      <c r="AE41" s="658">
        <v>2</v>
      </c>
      <c r="AF41" s="658">
        <v>64</v>
      </c>
      <c r="AG41" s="658">
        <v>76</v>
      </c>
      <c r="AH41" s="658">
        <v>29</v>
      </c>
      <c r="AI41" s="658">
        <v>4</v>
      </c>
      <c r="AJ41" s="681"/>
      <c r="AK41" s="592"/>
      <c r="AL41" s="377" t="s">
        <v>568</v>
      </c>
      <c r="AM41" s="592">
        <f t="shared" si="28"/>
        <v>2</v>
      </c>
      <c r="AN41" s="402">
        <f t="shared" si="29"/>
        <v>1</v>
      </c>
      <c r="AO41" s="402">
        <f t="shared" si="30"/>
        <v>9</v>
      </c>
      <c r="AP41" s="402">
        <f t="shared" si="31"/>
        <v>21</v>
      </c>
      <c r="AQ41" s="402">
        <f t="shared" si="32"/>
        <v>239</v>
      </c>
      <c r="AR41" s="402">
        <f t="shared" si="33"/>
        <v>14</v>
      </c>
      <c r="AS41" s="402">
        <f t="shared" si="34"/>
        <v>64</v>
      </c>
      <c r="AT41" s="402">
        <f t="shared" si="35"/>
        <v>76</v>
      </c>
      <c r="AU41" s="402">
        <f t="shared" si="36"/>
        <v>33</v>
      </c>
      <c r="AV41" s="85">
        <f t="shared" si="37"/>
        <v>459</v>
      </c>
    </row>
    <row r="42" spans="1:48" s="21" customFormat="1" x14ac:dyDescent="0.15">
      <c r="A42" s="976" t="s">
        <v>486</v>
      </c>
      <c r="B42" s="590">
        <f t="shared" ref="B42:J42" si="50">AM46</f>
        <v>11</v>
      </c>
      <c r="C42" s="590">
        <f t="shared" si="50"/>
        <v>3</v>
      </c>
      <c r="D42" s="590">
        <f t="shared" si="50"/>
        <v>10</v>
      </c>
      <c r="E42" s="590">
        <f t="shared" si="50"/>
        <v>28</v>
      </c>
      <c r="F42" s="590">
        <f t="shared" si="50"/>
        <v>114</v>
      </c>
      <c r="G42" s="590">
        <f t="shared" si="50"/>
        <v>41</v>
      </c>
      <c r="H42" s="590">
        <f t="shared" si="50"/>
        <v>291</v>
      </c>
      <c r="I42" s="590">
        <f t="shared" si="50"/>
        <v>532</v>
      </c>
      <c r="J42" s="590">
        <f t="shared" si="50"/>
        <v>43</v>
      </c>
      <c r="K42" s="591">
        <f>SUM(B42:J42)</f>
        <v>1073</v>
      </c>
      <c r="M42" s="592"/>
      <c r="N42" s="716" t="s">
        <v>569</v>
      </c>
      <c r="O42" s="681"/>
      <c r="P42" s="681">
        <v>2</v>
      </c>
      <c r="Q42" s="681">
        <v>5</v>
      </c>
      <c r="R42" s="681">
        <v>5</v>
      </c>
      <c r="S42" s="681">
        <v>1</v>
      </c>
      <c r="T42" s="681">
        <v>7</v>
      </c>
      <c r="U42" s="681">
        <v>6</v>
      </c>
      <c r="V42" s="681">
        <v>4</v>
      </c>
      <c r="W42" s="681">
        <v>8</v>
      </c>
      <c r="X42" s="681">
        <v>40</v>
      </c>
      <c r="Y42" s="681">
        <v>7</v>
      </c>
      <c r="Z42" s="681">
        <v>3</v>
      </c>
      <c r="AA42" s="681">
        <v>11</v>
      </c>
      <c r="AB42" s="681">
        <v>16</v>
      </c>
      <c r="AC42" s="681">
        <v>444</v>
      </c>
      <c r="AD42" s="681">
        <v>48</v>
      </c>
      <c r="AE42" s="681">
        <v>12</v>
      </c>
      <c r="AF42" s="681">
        <v>197</v>
      </c>
      <c r="AG42" s="681">
        <v>121</v>
      </c>
      <c r="AH42" s="681">
        <v>67</v>
      </c>
      <c r="AI42" s="681">
        <v>4</v>
      </c>
      <c r="AJ42" s="681"/>
      <c r="AK42" s="592"/>
      <c r="AL42" s="377" t="s">
        <v>569</v>
      </c>
      <c r="AM42" s="592">
        <f t="shared" si="28"/>
        <v>7</v>
      </c>
      <c r="AN42" s="402">
        <f t="shared" si="29"/>
        <v>6</v>
      </c>
      <c r="AO42" s="402">
        <f t="shared" si="30"/>
        <v>25</v>
      </c>
      <c r="AP42" s="402">
        <f t="shared" si="31"/>
        <v>50</v>
      </c>
      <c r="AQ42" s="402">
        <f t="shared" si="32"/>
        <v>27</v>
      </c>
      <c r="AR42" s="402">
        <f t="shared" si="33"/>
        <v>504</v>
      </c>
      <c r="AS42" s="402">
        <f t="shared" si="34"/>
        <v>197</v>
      </c>
      <c r="AT42" s="402">
        <f t="shared" si="35"/>
        <v>121</v>
      </c>
      <c r="AU42" s="402">
        <f t="shared" si="36"/>
        <v>71</v>
      </c>
      <c r="AV42" s="85">
        <f t="shared" si="37"/>
        <v>1008</v>
      </c>
    </row>
    <row r="43" spans="1:48" s="21" customFormat="1" x14ac:dyDescent="0.15">
      <c r="A43" s="994"/>
      <c r="B43" s="594">
        <f>B42/B$44</f>
        <v>1.5918958031837915E-2</v>
      </c>
      <c r="C43" s="594">
        <f t="shared" ref="C43:K43" si="51">C42/C$44</f>
        <v>4.172461752433936E-3</v>
      </c>
      <c r="D43" s="594">
        <f t="shared" si="51"/>
        <v>1.422475106685633E-2</v>
      </c>
      <c r="E43" s="594">
        <f t="shared" si="51"/>
        <v>4.8442906574394463E-2</v>
      </c>
      <c r="F43" s="594">
        <f t="shared" si="51"/>
        <v>0.19191919191919191</v>
      </c>
      <c r="G43" s="594">
        <f t="shared" si="51"/>
        <v>1.9149929939280708E-2</v>
      </c>
      <c r="H43" s="594">
        <f t="shared" si="51"/>
        <v>0.17218934911242603</v>
      </c>
      <c r="I43" s="594">
        <f t="shared" si="51"/>
        <v>0.61788617886178865</v>
      </c>
      <c r="J43" s="594">
        <f t="shared" si="51"/>
        <v>5.4637865311308764E-2</v>
      </c>
      <c r="K43" s="594">
        <f t="shared" si="51"/>
        <v>0.12243267914194432</v>
      </c>
      <c r="M43" s="592"/>
      <c r="N43" s="717" t="s">
        <v>570</v>
      </c>
      <c r="O43" s="658">
        <v>3</v>
      </c>
      <c r="P43" s="658">
        <v>11</v>
      </c>
      <c r="Q43" s="658">
        <v>6</v>
      </c>
      <c r="R43" s="658">
        <v>6</v>
      </c>
      <c r="S43" s="658">
        <v>3</v>
      </c>
      <c r="T43" s="658">
        <v>6</v>
      </c>
      <c r="U43" s="658">
        <v>9</v>
      </c>
      <c r="V43" s="658">
        <v>10</v>
      </c>
      <c r="W43" s="658">
        <v>7</v>
      </c>
      <c r="X43" s="658">
        <v>29</v>
      </c>
      <c r="Y43" s="658">
        <v>7</v>
      </c>
      <c r="Z43" s="658">
        <v>5</v>
      </c>
      <c r="AA43" s="658">
        <v>20</v>
      </c>
      <c r="AB43" s="658">
        <v>20</v>
      </c>
      <c r="AC43" s="658">
        <v>106</v>
      </c>
      <c r="AD43" s="658">
        <v>769</v>
      </c>
      <c r="AE43" s="658">
        <v>106</v>
      </c>
      <c r="AF43" s="658">
        <v>311</v>
      </c>
      <c r="AG43" s="658">
        <v>85</v>
      </c>
      <c r="AH43" s="658">
        <v>104</v>
      </c>
      <c r="AI43" s="658">
        <v>45</v>
      </c>
      <c r="AJ43" s="681"/>
      <c r="AK43" s="592"/>
      <c r="AL43" s="377" t="s">
        <v>570</v>
      </c>
      <c r="AM43" s="592">
        <f t="shared" si="28"/>
        <v>20</v>
      </c>
      <c r="AN43" s="402">
        <f t="shared" si="29"/>
        <v>9</v>
      </c>
      <c r="AO43" s="402">
        <f t="shared" si="30"/>
        <v>32</v>
      </c>
      <c r="AP43" s="402">
        <f t="shared" si="31"/>
        <v>41</v>
      </c>
      <c r="AQ43" s="402">
        <f t="shared" si="32"/>
        <v>40</v>
      </c>
      <c r="AR43" s="402">
        <f t="shared" si="33"/>
        <v>981</v>
      </c>
      <c r="AS43" s="402">
        <f t="shared" si="34"/>
        <v>311</v>
      </c>
      <c r="AT43" s="402">
        <f t="shared" si="35"/>
        <v>85</v>
      </c>
      <c r="AU43" s="402">
        <f t="shared" si="36"/>
        <v>149</v>
      </c>
      <c r="AV43" s="85">
        <f t="shared" si="37"/>
        <v>1668</v>
      </c>
    </row>
    <row r="44" spans="1:48" s="21" customFormat="1" x14ac:dyDescent="0.15">
      <c r="A44" s="1007" t="s">
        <v>11</v>
      </c>
      <c r="B44" s="595">
        <f>SUM(B28,B30,B32,B34,B36,B38,B40,B42)</f>
        <v>691</v>
      </c>
      <c r="C44" s="595">
        <f t="shared" ref="C44:K45" si="52">SUM(C28,C30,C32,C34,C36,C38,C40,C42)</f>
        <v>719</v>
      </c>
      <c r="D44" s="595">
        <f t="shared" si="52"/>
        <v>703</v>
      </c>
      <c r="E44" s="595">
        <f t="shared" si="52"/>
        <v>578</v>
      </c>
      <c r="F44" s="595">
        <f t="shared" si="52"/>
        <v>594</v>
      </c>
      <c r="G44" s="595">
        <f t="shared" si="52"/>
        <v>2141</v>
      </c>
      <c r="H44" s="595">
        <f t="shared" si="52"/>
        <v>1690</v>
      </c>
      <c r="I44" s="595">
        <f t="shared" si="52"/>
        <v>861</v>
      </c>
      <c r="J44" s="595">
        <f t="shared" si="52"/>
        <v>787</v>
      </c>
      <c r="K44" s="595">
        <f>SUM(K28,K30,K32,K34,K36,K38,K40,K42)</f>
        <v>8764</v>
      </c>
      <c r="M44" s="592"/>
      <c r="N44" s="716" t="s">
        <v>571</v>
      </c>
      <c r="O44" s="681">
        <v>2</v>
      </c>
      <c r="P44" s="681">
        <v>2</v>
      </c>
      <c r="Q44" s="681"/>
      <c r="R44" s="681">
        <v>2</v>
      </c>
      <c r="S44" s="681">
        <v>4</v>
      </c>
      <c r="T44" s="681">
        <v>11</v>
      </c>
      <c r="U44" s="681">
        <v>8</v>
      </c>
      <c r="V44" s="681">
        <v>16</v>
      </c>
      <c r="W44" s="681">
        <v>1</v>
      </c>
      <c r="X44" s="681">
        <v>7</v>
      </c>
      <c r="Y44" s="681">
        <v>8</v>
      </c>
      <c r="Z44" s="681">
        <v>1</v>
      </c>
      <c r="AA44" s="681">
        <v>2</v>
      </c>
      <c r="AB44" s="681">
        <v>6</v>
      </c>
      <c r="AC44" s="681">
        <v>23</v>
      </c>
      <c r="AD44" s="681">
        <v>63</v>
      </c>
      <c r="AE44" s="681">
        <v>496</v>
      </c>
      <c r="AF44" s="681">
        <v>91</v>
      </c>
      <c r="AG44" s="681">
        <v>17</v>
      </c>
      <c r="AH44" s="681">
        <v>70</v>
      </c>
      <c r="AI44" s="681">
        <v>3</v>
      </c>
      <c r="AJ44" s="681"/>
      <c r="AK44" s="592"/>
      <c r="AL44" s="377" t="s">
        <v>571</v>
      </c>
      <c r="AM44" s="592">
        <f t="shared" si="28"/>
        <v>4</v>
      </c>
      <c r="AN44" s="402">
        <f t="shared" si="29"/>
        <v>6</v>
      </c>
      <c r="AO44" s="402">
        <f t="shared" si="30"/>
        <v>36</v>
      </c>
      <c r="AP44" s="402">
        <f t="shared" si="31"/>
        <v>16</v>
      </c>
      <c r="AQ44" s="402">
        <f t="shared" si="32"/>
        <v>8</v>
      </c>
      <c r="AR44" s="402">
        <f t="shared" si="33"/>
        <v>582</v>
      </c>
      <c r="AS44" s="402">
        <f t="shared" si="34"/>
        <v>91</v>
      </c>
      <c r="AT44" s="402">
        <f t="shared" si="35"/>
        <v>17</v>
      </c>
      <c r="AU44" s="402">
        <f t="shared" si="36"/>
        <v>73</v>
      </c>
      <c r="AV44" s="85">
        <f t="shared" si="37"/>
        <v>833</v>
      </c>
    </row>
    <row r="45" spans="1:48" s="21" customFormat="1" x14ac:dyDescent="0.15">
      <c r="A45" s="1008"/>
      <c r="B45" s="596">
        <f>SUM(B29,B31,B33,B35,B37,B39,B41,B43)</f>
        <v>1.0000000000000002</v>
      </c>
      <c r="C45" s="596">
        <f t="shared" si="52"/>
        <v>1</v>
      </c>
      <c r="D45" s="596">
        <f t="shared" si="52"/>
        <v>1</v>
      </c>
      <c r="E45" s="596">
        <f t="shared" si="52"/>
        <v>0.99999999999999989</v>
      </c>
      <c r="F45" s="596">
        <f t="shared" si="52"/>
        <v>1</v>
      </c>
      <c r="G45" s="596">
        <f t="shared" si="52"/>
        <v>0.99999999999999989</v>
      </c>
      <c r="H45" s="596">
        <f t="shared" si="52"/>
        <v>1</v>
      </c>
      <c r="I45" s="596">
        <f t="shared" si="52"/>
        <v>1</v>
      </c>
      <c r="J45" s="596">
        <f t="shared" si="52"/>
        <v>1</v>
      </c>
      <c r="K45" s="596">
        <f t="shared" si="52"/>
        <v>1</v>
      </c>
      <c r="M45" s="592"/>
      <c r="N45" s="717" t="s">
        <v>572</v>
      </c>
      <c r="O45" s="658"/>
      <c r="P45" s="658"/>
      <c r="Q45" s="658"/>
      <c r="R45" s="658"/>
      <c r="S45" s="658"/>
      <c r="T45" s="658"/>
      <c r="U45" s="658"/>
      <c r="V45" s="658"/>
      <c r="W45" s="658"/>
      <c r="X45" s="658"/>
      <c r="Y45" s="658"/>
      <c r="Z45" s="658"/>
      <c r="AA45" s="658"/>
      <c r="AB45" s="658"/>
      <c r="AC45" s="658"/>
      <c r="AD45" s="658"/>
      <c r="AE45" s="658"/>
      <c r="AF45" s="658">
        <v>1</v>
      </c>
      <c r="AG45" s="658"/>
      <c r="AH45" s="658"/>
      <c r="AI45" s="658"/>
      <c r="AJ45" s="681"/>
      <c r="AK45" s="592"/>
      <c r="AL45" s="377" t="s">
        <v>572</v>
      </c>
      <c r="AM45" s="592">
        <f t="shared" si="28"/>
        <v>0</v>
      </c>
      <c r="AN45" s="402">
        <f t="shared" si="29"/>
        <v>0</v>
      </c>
      <c r="AO45" s="402">
        <f t="shared" si="30"/>
        <v>0</v>
      </c>
      <c r="AP45" s="402">
        <f t="shared" si="31"/>
        <v>0</v>
      </c>
      <c r="AQ45" s="402">
        <f t="shared" si="32"/>
        <v>0</v>
      </c>
      <c r="AR45" s="402">
        <f t="shared" si="33"/>
        <v>0</v>
      </c>
      <c r="AS45" s="402">
        <f t="shared" si="34"/>
        <v>1</v>
      </c>
      <c r="AT45" s="402">
        <f t="shared" si="35"/>
        <v>0</v>
      </c>
      <c r="AU45" s="402">
        <f t="shared" si="36"/>
        <v>0</v>
      </c>
      <c r="AV45" s="85">
        <f t="shared" si="37"/>
        <v>1</v>
      </c>
    </row>
    <row r="46" spans="1:48" x14ac:dyDescent="0.15">
      <c r="N46" s="719" t="s">
        <v>573</v>
      </c>
      <c r="O46" s="661">
        <v>3</v>
      </c>
      <c r="P46" s="661">
        <v>4</v>
      </c>
      <c r="Q46" s="661">
        <v>4</v>
      </c>
      <c r="R46" s="661">
        <v>2</v>
      </c>
      <c r="S46" s="661">
        <v>1</v>
      </c>
      <c r="T46" s="661">
        <v>4</v>
      </c>
      <c r="U46" s="661">
        <v>2</v>
      </c>
      <c r="V46" s="661">
        <v>3</v>
      </c>
      <c r="W46" s="661">
        <v>1</v>
      </c>
      <c r="X46" s="661">
        <v>13</v>
      </c>
      <c r="Y46" s="661">
        <v>13</v>
      </c>
      <c r="Z46" s="661">
        <v>2</v>
      </c>
      <c r="AA46" s="661">
        <v>82</v>
      </c>
      <c r="AB46" s="661">
        <v>32</v>
      </c>
      <c r="AC46" s="661">
        <v>25</v>
      </c>
      <c r="AD46" s="661">
        <v>10</v>
      </c>
      <c r="AE46" s="661">
        <v>6</v>
      </c>
      <c r="AF46" s="661">
        <v>291</v>
      </c>
      <c r="AG46" s="661">
        <v>532</v>
      </c>
      <c r="AH46" s="661">
        <v>35</v>
      </c>
      <c r="AI46" s="661">
        <v>8</v>
      </c>
      <c r="AJ46" s="660"/>
      <c r="AK46" s="42"/>
      <c r="AL46" s="377" t="s">
        <v>573</v>
      </c>
      <c r="AM46" s="592">
        <f t="shared" si="28"/>
        <v>11</v>
      </c>
      <c r="AN46" s="402">
        <f t="shared" si="29"/>
        <v>3</v>
      </c>
      <c r="AO46" s="402">
        <f t="shared" si="30"/>
        <v>10</v>
      </c>
      <c r="AP46" s="402">
        <f t="shared" si="31"/>
        <v>28</v>
      </c>
      <c r="AQ46" s="402">
        <f t="shared" si="32"/>
        <v>114</v>
      </c>
      <c r="AR46" s="402">
        <f t="shared" si="33"/>
        <v>41</v>
      </c>
      <c r="AS46" s="402">
        <f t="shared" si="34"/>
        <v>291</v>
      </c>
      <c r="AT46" s="402">
        <f t="shared" si="35"/>
        <v>532</v>
      </c>
      <c r="AU46" s="402">
        <f t="shared" si="36"/>
        <v>43</v>
      </c>
      <c r="AV46" s="85">
        <f t="shared" si="37"/>
        <v>1073</v>
      </c>
    </row>
    <row r="47" spans="1:48" x14ac:dyDescent="0.15">
      <c r="A47" s="373"/>
      <c r="B47" s="373"/>
      <c r="C47" s="373"/>
      <c r="D47" s="373"/>
      <c r="E47" s="373"/>
      <c r="F47" s="373"/>
      <c r="G47" s="373"/>
      <c r="H47" s="373"/>
      <c r="I47" s="373"/>
      <c r="J47" s="373"/>
      <c r="K47" s="373"/>
      <c r="L47" s="373"/>
      <c r="M47" s="373"/>
    </row>
    <row r="48" spans="1:48" x14ac:dyDescent="0.15">
      <c r="A48" s="53"/>
    </row>
    <row r="49" spans="1:8" x14ac:dyDescent="0.15">
      <c r="A49" s="53"/>
    </row>
    <row r="50" spans="1:8" x14ac:dyDescent="0.15">
      <c r="A50" s="53"/>
    </row>
    <row r="51" spans="1:8" x14ac:dyDescent="0.15">
      <c r="A51" s="53"/>
    </row>
    <row r="52" spans="1:8" x14ac:dyDescent="0.15">
      <c r="A52" s="53"/>
    </row>
    <row r="53" spans="1:8" x14ac:dyDescent="0.15">
      <c r="A53" s="53"/>
      <c r="H53" s="599"/>
    </row>
    <row r="54" spans="1:8" x14ac:dyDescent="0.15">
      <c r="A54" s="53"/>
    </row>
    <row r="55" spans="1:8" x14ac:dyDescent="0.15">
      <c r="A55" s="53"/>
    </row>
  </sheetData>
  <mergeCells count="22">
    <mergeCell ref="A38:A39"/>
    <mergeCell ref="A40:A41"/>
    <mergeCell ref="A42:A43"/>
    <mergeCell ref="A44:A45"/>
    <mergeCell ref="B26:K26"/>
    <mergeCell ref="A28:A29"/>
    <mergeCell ref="A30:A31"/>
    <mergeCell ref="A32:A33"/>
    <mergeCell ref="A34:A35"/>
    <mergeCell ref="A36:A37"/>
    <mergeCell ref="A26:A27"/>
    <mergeCell ref="A13:A14"/>
    <mergeCell ref="A15:A16"/>
    <mergeCell ref="A17:A18"/>
    <mergeCell ref="A19:A20"/>
    <mergeCell ref="A21:A22"/>
    <mergeCell ref="A11:A12"/>
    <mergeCell ref="A3:A4"/>
    <mergeCell ref="B3:K3"/>
    <mergeCell ref="A5:A6"/>
    <mergeCell ref="A7:A8"/>
    <mergeCell ref="A9:A10"/>
  </mergeCells>
  <phoneticPr fontId="2"/>
  <printOptions horizontalCentered="1"/>
  <pageMargins left="0.70866141732283472" right="0.70866141732283472" top="0.74803149606299213" bottom="0.74803149606299213" header="0.31496062992125984"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9153" r:id="rId4" name="Button 1">
              <controlPr defaultSize="0" print="0" autoFill="0" autoPict="0" macro="[0]!データ削除_圏域圏域">
                <anchor moveWithCells="1" sizeWithCells="1">
                  <from>
                    <xdr:col>11</xdr:col>
                    <xdr:colOff>276225</xdr:colOff>
                    <xdr:row>0</xdr:row>
                    <xdr:rowOff>104775</xdr:rowOff>
                  </from>
                  <to>
                    <xdr:col>15</xdr:col>
                    <xdr:colOff>466725</xdr:colOff>
                    <xdr:row>2</xdr:row>
                    <xdr:rowOff>95250</xdr:rowOff>
                  </to>
                </anchor>
              </controlPr>
            </control>
          </mc:Choice>
        </mc:AlternateContent>
      </controls>
    </mc:Choice>
  </mc:AlternateContent>
  <tableParts count="2">
    <tablePart r:id="rId5"/>
    <tablePart r:id="rId6"/>
  </tableParts>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5">
    <tabColor rgb="FFFFFF00"/>
  </sheetPr>
  <dimension ref="A1:Q91"/>
  <sheetViews>
    <sheetView showGridLines="0" view="pageBreakPreview" topLeftCell="A52" zoomScaleNormal="100" zoomScaleSheetLayoutView="100" workbookViewId="0">
      <selection activeCell="C78" sqref="C78"/>
    </sheetView>
  </sheetViews>
  <sheetFormatPr defaultRowHeight="18.75" x14ac:dyDescent="0.15"/>
  <cols>
    <col min="1" max="1" width="4" style="537" customWidth="1"/>
    <col min="2" max="2" width="10.875" style="600" customWidth="1"/>
    <col min="3" max="3" width="4.375" style="600" bestFit="1" customWidth="1"/>
    <col min="4" max="4" width="4.25" style="600" customWidth="1"/>
    <col min="5" max="8" width="5.375" style="600" bestFit="1" customWidth="1"/>
    <col min="9" max="9" width="7" style="600" bestFit="1" customWidth="1"/>
    <col min="10" max="10" width="4.375" style="600" bestFit="1" customWidth="1"/>
    <col min="11" max="14" width="5.375" style="600" bestFit="1" customWidth="1"/>
    <col min="15" max="15" width="5" style="600" bestFit="1" customWidth="1"/>
    <col min="16" max="16" width="7" style="600" bestFit="1" customWidth="1"/>
    <col min="17" max="17" width="6.875" style="600" customWidth="1"/>
    <col min="18" max="18" width="9" style="537"/>
    <col min="19" max="20" width="9" style="537" customWidth="1"/>
    <col min="21" max="16384" width="9" style="537"/>
  </cols>
  <sheetData>
    <row r="1" spans="1:17" x14ac:dyDescent="0.15">
      <c r="B1" s="4" t="s">
        <v>488</v>
      </c>
    </row>
    <row r="3" spans="1:17" x14ac:dyDescent="0.15">
      <c r="B3" s="601"/>
      <c r="C3" s="1009" t="s">
        <v>489</v>
      </c>
      <c r="D3" s="1010"/>
      <c r="E3" s="1010"/>
      <c r="F3" s="1010"/>
      <c r="G3" s="1010"/>
      <c r="H3" s="1010"/>
      <c r="I3" s="1011"/>
      <c r="J3" s="1009" t="s">
        <v>490</v>
      </c>
      <c r="K3" s="1010"/>
      <c r="L3" s="1010"/>
      <c r="M3" s="1010"/>
      <c r="N3" s="1010"/>
      <c r="O3" s="1010"/>
      <c r="P3" s="1011"/>
      <c r="Q3" s="1012" t="s">
        <v>62</v>
      </c>
    </row>
    <row r="4" spans="1:17" ht="44.25" customHeight="1" x14ac:dyDescent="0.15">
      <c r="B4" s="602"/>
      <c r="C4" s="603" t="s">
        <v>276</v>
      </c>
      <c r="D4" s="604" t="s">
        <v>277</v>
      </c>
      <c r="E4" s="603" t="s">
        <v>491</v>
      </c>
      <c r="F4" s="603" t="s">
        <v>492</v>
      </c>
      <c r="G4" s="603" t="s">
        <v>493</v>
      </c>
      <c r="H4" s="603" t="s">
        <v>494</v>
      </c>
      <c r="I4" s="603" t="s">
        <v>495</v>
      </c>
      <c r="J4" s="603" t="s">
        <v>276</v>
      </c>
      <c r="K4" s="604" t="s">
        <v>277</v>
      </c>
      <c r="L4" s="603" t="s">
        <v>491</v>
      </c>
      <c r="M4" s="603" t="s">
        <v>492</v>
      </c>
      <c r="N4" s="603" t="s">
        <v>493</v>
      </c>
      <c r="O4" s="603" t="s">
        <v>494</v>
      </c>
      <c r="P4" s="603" t="s">
        <v>495</v>
      </c>
      <c r="Q4" s="1013"/>
    </row>
    <row r="5" spans="1:17" s="223" customFormat="1" x14ac:dyDescent="0.15">
      <c r="A5" s="223">
        <v>1</v>
      </c>
      <c r="B5" s="682" t="s">
        <v>496</v>
      </c>
      <c r="C5" s="605"/>
      <c r="D5" s="605">
        <v>3</v>
      </c>
      <c r="E5" s="605">
        <v>10</v>
      </c>
      <c r="F5" s="605">
        <v>19</v>
      </c>
      <c r="G5" s="605">
        <v>15</v>
      </c>
      <c r="H5" s="605">
        <v>6</v>
      </c>
      <c r="I5" s="605">
        <f>SUM(C5:H5)</f>
        <v>53</v>
      </c>
      <c r="J5" s="605">
        <v>1</v>
      </c>
      <c r="K5" s="605">
        <v>5</v>
      </c>
      <c r="L5" s="605">
        <v>13</v>
      </c>
      <c r="M5" s="605">
        <v>15</v>
      </c>
      <c r="N5" s="605">
        <v>5</v>
      </c>
      <c r="O5" s="605">
        <v>1</v>
      </c>
      <c r="P5" s="605">
        <f>SUM(J5:O5)</f>
        <v>40</v>
      </c>
      <c r="Q5" s="606">
        <f>SUM(I5,P5)</f>
        <v>93</v>
      </c>
    </row>
    <row r="6" spans="1:17" s="223" customFormat="1" x14ac:dyDescent="0.15">
      <c r="A6" s="223">
        <v>2</v>
      </c>
      <c r="B6" s="682" t="s">
        <v>497</v>
      </c>
      <c r="C6" s="605"/>
      <c r="D6" s="605">
        <v>6</v>
      </c>
      <c r="E6" s="605">
        <v>17</v>
      </c>
      <c r="F6" s="605">
        <v>61</v>
      </c>
      <c r="G6" s="605">
        <v>40</v>
      </c>
      <c r="H6" s="605">
        <v>15</v>
      </c>
      <c r="I6" s="605">
        <f t="shared" ref="I6:I45" si="0">SUM(C6:H6)</f>
        <v>139</v>
      </c>
      <c r="J6" s="605">
        <v>3</v>
      </c>
      <c r="K6" s="605">
        <v>9</v>
      </c>
      <c r="L6" s="605">
        <v>11</v>
      </c>
      <c r="M6" s="605">
        <v>22</v>
      </c>
      <c r="N6" s="605">
        <v>16</v>
      </c>
      <c r="O6" s="605">
        <v>7</v>
      </c>
      <c r="P6" s="605">
        <f t="shared" ref="P6:P45" si="1">SUM(J6:O6)</f>
        <v>68</v>
      </c>
      <c r="Q6" s="606">
        <f t="shared" ref="Q6:Q71" si="2">SUM(I6,P6)</f>
        <v>207</v>
      </c>
    </row>
    <row r="7" spans="1:17" s="223" customFormat="1" x14ac:dyDescent="0.15">
      <c r="A7" s="223">
        <v>3</v>
      </c>
      <c r="B7" s="682" t="s">
        <v>498</v>
      </c>
      <c r="C7" s="605"/>
      <c r="D7" s="605"/>
      <c r="E7" s="605"/>
      <c r="F7" s="605">
        <v>8</v>
      </c>
      <c r="G7" s="605">
        <v>5</v>
      </c>
      <c r="H7" s="605">
        <v>2</v>
      </c>
      <c r="I7" s="605">
        <f t="shared" si="0"/>
        <v>15</v>
      </c>
      <c r="J7" s="605">
        <v>1</v>
      </c>
      <c r="K7" s="605">
        <v>1</v>
      </c>
      <c r="L7" s="605">
        <v>3</v>
      </c>
      <c r="M7" s="605">
        <v>3</v>
      </c>
      <c r="N7" s="605"/>
      <c r="O7" s="605">
        <v>1</v>
      </c>
      <c r="P7" s="605">
        <f t="shared" si="1"/>
        <v>9</v>
      </c>
      <c r="Q7" s="606">
        <f t="shared" si="2"/>
        <v>24</v>
      </c>
    </row>
    <row r="8" spans="1:17" s="223" customFormat="1" x14ac:dyDescent="0.15">
      <c r="A8" s="223">
        <v>4</v>
      </c>
      <c r="B8" s="682" t="s">
        <v>499</v>
      </c>
      <c r="C8" s="605"/>
      <c r="D8" s="605"/>
      <c r="E8" s="605">
        <v>4</v>
      </c>
      <c r="F8" s="605">
        <v>5</v>
      </c>
      <c r="G8" s="605">
        <v>6</v>
      </c>
      <c r="H8" s="605">
        <v>1</v>
      </c>
      <c r="I8" s="605">
        <f t="shared" si="0"/>
        <v>16</v>
      </c>
      <c r="J8" s="605">
        <v>1</v>
      </c>
      <c r="K8" s="605"/>
      <c r="L8" s="605">
        <v>2</v>
      </c>
      <c r="M8" s="605">
        <v>7</v>
      </c>
      <c r="N8" s="605">
        <v>2</v>
      </c>
      <c r="O8" s="605">
        <v>1</v>
      </c>
      <c r="P8" s="605">
        <f t="shared" si="1"/>
        <v>13</v>
      </c>
      <c r="Q8" s="606">
        <f t="shared" si="2"/>
        <v>29</v>
      </c>
    </row>
    <row r="9" spans="1:17" s="223" customFormat="1" x14ac:dyDescent="0.15">
      <c r="A9" s="223">
        <v>5</v>
      </c>
      <c r="B9" s="682" t="s">
        <v>500</v>
      </c>
      <c r="C9" s="605">
        <v>3</v>
      </c>
      <c r="D9" s="605">
        <v>8</v>
      </c>
      <c r="E9" s="605">
        <v>34</v>
      </c>
      <c r="F9" s="605">
        <v>84</v>
      </c>
      <c r="G9" s="605">
        <v>80</v>
      </c>
      <c r="H9" s="605">
        <v>18</v>
      </c>
      <c r="I9" s="605">
        <f t="shared" si="0"/>
        <v>227</v>
      </c>
      <c r="J9" s="605">
        <v>18</v>
      </c>
      <c r="K9" s="605">
        <v>20</v>
      </c>
      <c r="L9" s="605">
        <v>41</v>
      </c>
      <c r="M9" s="605">
        <v>80</v>
      </c>
      <c r="N9" s="605">
        <v>60</v>
      </c>
      <c r="O9" s="605">
        <v>12</v>
      </c>
      <c r="P9" s="605">
        <f t="shared" si="1"/>
        <v>231</v>
      </c>
      <c r="Q9" s="606">
        <f t="shared" si="2"/>
        <v>458</v>
      </c>
    </row>
    <row r="10" spans="1:17" s="223" customFormat="1" x14ac:dyDescent="0.15">
      <c r="A10" s="223">
        <v>6</v>
      </c>
      <c r="B10" s="682" t="s">
        <v>501</v>
      </c>
      <c r="C10" s="605">
        <v>7</v>
      </c>
      <c r="D10" s="605">
        <v>29</v>
      </c>
      <c r="E10" s="605">
        <v>22</v>
      </c>
      <c r="F10" s="605">
        <v>107</v>
      </c>
      <c r="G10" s="605">
        <v>65</v>
      </c>
      <c r="H10" s="605">
        <v>11</v>
      </c>
      <c r="I10" s="605">
        <f t="shared" si="0"/>
        <v>241</v>
      </c>
      <c r="J10" s="605">
        <v>8</v>
      </c>
      <c r="K10" s="605">
        <v>19</v>
      </c>
      <c r="L10" s="605">
        <v>32</v>
      </c>
      <c r="M10" s="605">
        <v>64</v>
      </c>
      <c r="N10" s="605">
        <v>26</v>
      </c>
      <c r="O10" s="605">
        <v>7</v>
      </c>
      <c r="P10" s="605">
        <f t="shared" si="1"/>
        <v>156</v>
      </c>
      <c r="Q10" s="606">
        <f t="shared" si="2"/>
        <v>397</v>
      </c>
    </row>
    <row r="11" spans="1:17" s="223" customFormat="1" x14ac:dyDescent="0.15">
      <c r="A11" s="223">
        <v>7</v>
      </c>
      <c r="B11" s="682" t="s">
        <v>502</v>
      </c>
      <c r="C11" s="605">
        <v>1</v>
      </c>
      <c r="D11" s="605">
        <v>6</v>
      </c>
      <c r="E11" s="605">
        <v>7</v>
      </c>
      <c r="F11" s="605">
        <v>20</v>
      </c>
      <c r="G11" s="605">
        <v>12</v>
      </c>
      <c r="H11" s="605">
        <v>9</v>
      </c>
      <c r="I11" s="605">
        <f t="shared" si="0"/>
        <v>55</v>
      </c>
      <c r="J11" s="605">
        <v>2</v>
      </c>
      <c r="K11" s="605">
        <v>4</v>
      </c>
      <c r="L11" s="605">
        <v>11</v>
      </c>
      <c r="M11" s="605">
        <v>11</v>
      </c>
      <c r="N11" s="605">
        <v>8</v>
      </c>
      <c r="O11" s="605">
        <v>1</v>
      </c>
      <c r="P11" s="605">
        <f t="shared" si="1"/>
        <v>37</v>
      </c>
      <c r="Q11" s="606">
        <f t="shared" si="2"/>
        <v>92</v>
      </c>
    </row>
    <row r="12" spans="1:17" s="223" customFormat="1" x14ac:dyDescent="0.15">
      <c r="A12" s="223">
        <v>8</v>
      </c>
      <c r="B12" s="682" t="s">
        <v>503</v>
      </c>
      <c r="C12" s="605">
        <v>3</v>
      </c>
      <c r="D12" s="605">
        <v>11</v>
      </c>
      <c r="E12" s="605">
        <v>29</v>
      </c>
      <c r="F12" s="605">
        <v>153</v>
      </c>
      <c r="G12" s="605">
        <v>103</v>
      </c>
      <c r="H12" s="605">
        <v>44</v>
      </c>
      <c r="I12" s="605">
        <f t="shared" si="0"/>
        <v>343</v>
      </c>
      <c r="J12" s="605">
        <v>6</v>
      </c>
      <c r="K12" s="605">
        <v>19</v>
      </c>
      <c r="L12" s="605">
        <v>34</v>
      </c>
      <c r="M12" s="605">
        <v>90</v>
      </c>
      <c r="N12" s="605">
        <v>66</v>
      </c>
      <c r="O12" s="605">
        <v>28</v>
      </c>
      <c r="P12" s="605">
        <f t="shared" si="1"/>
        <v>243</v>
      </c>
      <c r="Q12" s="606">
        <f t="shared" si="2"/>
        <v>586</v>
      </c>
    </row>
    <row r="13" spans="1:17" s="223" customFormat="1" x14ac:dyDescent="0.15">
      <c r="A13" s="223">
        <v>9</v>
      </c>
      <c r="B13" s="682" t="s">
        <v>575</v>
      </c>
      <c r="C13" s="605"/>
      <c r="D13" s="605"/>
      <c r="E13" s="605">
        <v>1</v>
      </c>
      <c r="F13" s="605">
        <v>10</v>
      </c>
      <c r="G13" s="605">
        <v>5</v>
      </c>
      <c r="H13" s="605">
        <v>1</v>
      </c>
      <c r="I13" s="605">
        <f t="shared" si="0"/>
        <v>17</v>
      </c>
      <c r="J13" s="605"/>
      <c r="K13" s="605"/>
      <c r="L13" s="605">
        <v>3</v>
      </c>
      <c r="M13" s="605">
        <v>2</v>
      </c>
      <c r="N13" s="605">
        <v>6</v>
      </c>
      <c r="O13" s="605">
        <v>3</v>
      </c>
      <c r="P13" s="605">
        <f t="shared" si="1"/>
        <v>14</v>
      </c>
      <c r="Q13" s="606">
        <f t="shared" si="2"/>
        <v>31</v>
      </c>
    </row>
    <row r="14" spans="1:17" s="223" customFormat="1" x14ac:dyDescent="0.15">
      <c r="A14" s="223">
        <v>10</v>
      </c>
      <c r="B14" s="682" t="s">
        <v>504</v>
      </c>
      <c r="C14" s="605">
        <v>5</v>
      </c>
      <c r="D14" s="605">
        <v>12</v>
      </c>
      <c r="E14" s="605">
        <v>31</v>
      </c>
      <c r="F14" s="605">
        <v>129</v>
      </c>
      <c r="G14" s="605">
        <v>100</v>
      </c>
      <c r="H14" s="605">
        <v>27</v>
      </c>
      <c r="I14" s="605">
        <f t="shared" si="0"/>
        <v>304</v>
      </c>
      <c r="J14" s="605">
        <v>17</v>
      </c>
      <c r="K14" s="605">
        <v>27</v>
      </c>
      <c r="L14" s="605">
        <v>43</v>
      </c>
      <c r="M14" s="605">
        <v>108</v>
      </c>
      <c r="N14" s="605">
        <v>64</v>
      </c>
      <c r="O14" s="605">
        <v>12</v>
      </c>
      <c r="P14" s="605">
        <f t="shared" si="1"/>
        <v>271</v>
      </c>
      <c r="Q14" s="606">
        <f t="shared" si="2"/>
        <v>575</v>
      </c>
    </row>
    <row r="15" spans="1:17" s="223" customFormat="1" x14ac:dyDescent="0.15">
      <c r="A15" s="223">
        <v>11</v>
      </c>
      <c r="B15" s="682" t="s">
        <v>505</v>
      </c>
      <c r="C15" s="605">
        <v>1</v>
      </c>
      <c r="D15" s="605">
        <v>17</v>
      </c>
      <c r="E15" s="605">
        <v>24</v>
      </c>
      <c r="F15" s="605">
        <v>96</v>
      </c>
      <c r="G15" s="605">
        <v>74</v>
      </c>
      <c r="H15" s="605">
        <v>19</v>
      </c>
      <c r="I15" s="605">
        <f t="shared" si="0"/>
        <v>231</v>
      </c>
      <c r="J15" s="605">
        <v>9</v>
      </c>
      <c r="K15" s="605">
        <v>25</v>
      </c>
      <c r="L15" s="605">
        <v>41</v>
      </c>
      <c r="M15" s="605">
        <v>66</v>
      </c>
      <c r="N15" s="605">
        <v>39</v>
      </c>
      <c r="O15" s="605">
        <v>10</v>
      </c>
      <c r="P15" s="605">
        <f t="shared" si="1"/>
        <v>190</v>
      </c>
      <c r="Q15" s="606">
        <f t="shared" si="2"/>
        <v>421</v>
      </c>
    </row>
    <row r="16" spans="1:17" s="223" customFormat="1" x14ac:dyDescent="0.15">
      <c r="A16" s="223">
        <v>12</v>
      </c>
      <c r="B16" s="682" t="s">
        <v>506</v>
      </c>
      <c r="C16" s="605">
        <v>2</v>
      </c>
      <c r="D16" s="605">
        <v>10</v>
      </c>
      <c r="E16" s="605">
        <v>27</v>
      </c>
      <c r="F16" s="605">
        <v>47</v>
      </c>
      <c r="G16" s="605">
        <v>47</v>
      </c>
      <c r="H16" s="605">
        <v>6</v>
      </c>
      <c r="I16" s="605">
        <f t="shared" si="0"/>
        <v>139</v>
      </c>
      <c r="J16" s="605">
        <v>13</v>
      </c>
      <c r="K16" s="605">
        <v>28</v>
      </c>
      <c r="L16" s="605">
        <v>28</v>
      </c>
      <c r="M16" s="605">
        <v>22</v>
      </c>
      <c r="N16" s="605">
        <v>21</v>
      </c>
      <c r="O16" s="605">
        <v>7</v>
      </c>
      <c r="P16" s="605">
        <f t="shared" si="1"/>
        <v>119</v>
      </c>
      <c r="Q16" s="606">
        <f t="shared" si="2"/>
        <v>258</v>
      </c>
    </row>
    <row r="17" spans="1:17" s="223" customFormat="1" x14ac:dyDescent="0.15">
      <c r="A17" s="223">
        <v>13</v>
      </c>
      <c r="B17" s="682" t="s">
        <v>507</v>
      </c>
      <c r="C17" s="605"/>
      <c r="D17" s="605">
        <v>2</v>
      </c>
      <c r="E17" s="605">
        <v>7</v>
      </c>
      <c r="F17" s="605">
        <v>10</v>
      </c>
      <c r="G17" s="605">
        <v>12</v>
      </c>
      <c r="H17" s="605">
        <v>2</v>
      </c>
      <c r="I17" s="605">
        <f t="shared" si="0"/>
        <v>33</v>
      </c>
      <c r="J17" s="605">
        <v>5</v>
      </c>
      <c r="K17" s="605">
        <v>5</v>
      </c>
      <c r="L17" s="605">
        <v>6</v>
      </c>
      <c r="M17" s="605">
        <v>7</v>
      </c>
      <c r="N17" s="605">
        <v>8</v>
      </c>
      <c r="O17" s="605"/>
      <c r="P17" s="605">
        <f t="shared" si="1"/>
        <v>31</v>
      </c>
      <c r="Q17" s="606">
        <f t="shared" si="2"/>
        <v>64</v>
      </c>
    </row>
    <row r="18" spans="1:17" s="223" customFormat="1" x14ac:dyDescent="0.15">
      <c r="A18" s="223">
        <v>14</v>
      </c>
      <c r="B18" s="682" t="s">
        <v>576</v>
      </c>
      <c r="C18" s="605"/>
      <c r="D18" s="605">
        <v>2</v>
      </c>
      <c r="E18" s="605">
        <v>14</v>
      </c>
      <c r="F18" s="605">
        <v>30</v>
      </c>
      <c r="G18" s="605">
        <v>12</v>
      </c>
      <c r="H18" s="605">
        <v>6</v>
      </c>
      <c r="I18" s="605">
        <f t="shared" si="0"/>
        <v>64</v>
      </c>
      <c r="J18" s="605">
        <v>1</v>
      </c>
      <c r="K18" s="605">
        <v>3</v>
      </c>
      <c r="L18" s="605">
        <v>11</v>
      </c>
      <c r="M18" s="605">
        <v>19</v>
      </c>
      <c r="N18" s="605">
        <v>6</v>
      </c>
      <c r="O18" s="605">
        <v>2</v>
      </c>
      <c r="P18" s="605">
        <f t="shared" si="1"/>
        <v>42</v>
      </c>
      <c r="Q18" s="606">
        <f t="shared" si="2"/>
        <v>106</v>
      </c>
    </row>
    <row r="19" spans="1:17" s="223" customFormat="1" x14ac:dyDescent="0.15">
      <c r="A19" s="223">
        <v>15</v>
      </c>
      <c r="B19" s="682" t="s">
        <v>508</v>
      </c>
      <c r="C19" s="605">
        <v>2</v>
      </c>
      <c r="D19" s="605">
        <v>1</v>
      </c>
      <c r="E19" s="605">
        <v>6</v>
      </c>
      <c r="F19" s="605">
        <v>19</v>
      </c>
      <c r="G19" s="605">
        <v>12</v>
      </c>
      <c r="H19" s="605">
        <v>3</v>
      </c>
      <c r="I19" s="605">
        <f t="shared" si="0"/>
        <v>43</v>
      </c>
      <c r="J19" s="605">
        <v>3</v>
      </c>
      <c r="K19" s="605">
        <v>7</v>
      </c>
      <c r="L19" s="605">
        <v>13</v>
      </c>
      <c r="M19" s="605">
        <v>24</v>
      </c>
      <c r="N19" s="605">
        <v>11</v>
      </c>
      <c r="O19" s="605">
        <v>5</v>
      </c>
      <c r="P19" s="605">
        <f t="shared" si="1"/>
        <v>63</v>
      </c>
      <c r="Q19" s="606">
        <f t="shared" si="2"/>
        <v>106</v>
      </c>
    </row>
    <row r="20" spans="1:17" s="223" customFormat="1" x14ac:dyDescent="0.15">
      <c r="A20" s="223">
        <v>16</v>
      </c>
      <c r="B20" s="682" t="s">
        <v>509</v>
      </c>
      <c r="C20" s="605">
        <v>2</v>
      </c>
      <c r="D20" s="605">
        <v>4</v>
      </c>
      <c r="E20" s="605">
        <v>20</v>
      </c>
      <c r="F20" s="605">
        <v>49</v>
      </c>
      <c r="G20" s="605">
        <v>24</v>
      </c>
      <c r="H20" s="605">
        <v>10</v>
      </c>
      <c r="I20" s="605">
        <f t="shared" si="0"/>
        <v>109</v>
      </c>
      <c r="J20" s="605">
        <v>10</v>
      </c>
      <c r="K20" s="605">
        <v>5</v>
      </c>
      <c r="L20" s="605">
        <v>18</v>
      </c>
      <c r="M20" s="605">
        <v>27</v>
      </c>
      <c r="N20" s="605">
        <v>16</v>
      </c>
      <c r="O20" s="605">
        <v>6</v>
      </c>
      <c r="P20" s="605">
        <f t="shared" si="1"/>
        <v>82</v>
      </c>
      <c r="Q20" s="606">
        <f t="shared" si="2"/>
        <v>191</v>
      </c>
    </row>
    <row r="21" spans="1:17" s="223" customFormat="1" x14ac:dyDescent="0.15">
      <c r="A21" s="223">
        <v>17</v>
      </c>
      <c r="B21" s="682" t="s">
        <v>510</v>
      </c>
      <c r="C21" s="605">
        <v>1</v>
      </c>
      <c r="D21" s="605">
        <v>2</v>
      </c>
      <c r="E21" s="605">
        <v>14</v>
      </c>
      <c r="F21" s="605">
        <v>38</v>
      </c>
      <c r="G21" s="605">
        <v>22</v>
      </c>
      <c r="H21" s="605">
        <v>7</v>
      </c>
      <c r="I21" s="605">
        <f t="shared" si="0"/>
        <v>84</v>
      </c>
      <c r="J21" s="605">
        <v>7</v>
      </c>
      <c r="K21" s="605">
        <v>6</v>
      </c>
      <c r="L21" s="605">
        <v>10</v>
      </c>
      <c r="M21" s="605">
        <v>22</v>
      </c>
      <c r="N21" s="605">
        <v>9</v>
      </c>
      <c r="O21" s="605">
        <v>1</v>
      </c>
      <c r="P21" s="605">
        <f t="shared" si="1"/>
        <v>55</v>
      </c>
      <c r="Q21" s="606">
        <f t="shared" si="2"/>
        <v>139</v>
      </c>
    </row>
    <row r="22" spans="1:17" s="223" customFormat="1" x14ac:dyDescent="0.15">
      <c r="A22" s="223">
        <v>18</v>
      </c>
      <c r="B22" s="682" t="s">
        <v>511</v>
      </c>
      <c r="C22" s="605">
        <v>5</v>
      </c>
      <c r="D22" s="605">
        <v>34</v>
      </c>
      <c r="E22" s="605">
        <v>104</v>
      </c>
      <c r="F22" s="605">
        <v>138</v>
      </c>
      <c r="G22" s="605">
        <v>69</v>
      </c>
      <c r="H22" s="605">
        <v>9</v>
      </c>
      <c r="I22" s="605">
        <f t="shared" si="0"/>
        <v>359</v>
      </c>
      <c r="J22" s="605">
        <v>23</v>
      </c>
      <c r="K22" s="605">
        <v>45</v>
      </c>
      <c r="L22" s="605">
        <v>84</v>
      </c>
      <c r="M22" s="605">
        <v>98</v>
      </c>
      <c r="N22" s="605">
        <v>45</v>
      </c>
      <c r="O22" s="605">
        <v>7</v>
      </c>
      <c r="P22" s="605">
        <f t="shared" si="1"/>
        <v>302</v>
      </c>
      <c r="Q22" s="606">
        <f t="shared" si="2"/>
        <v>661</v>
      </c>
    </row>
    <row r="23" spans="1:17" s="223" customFormat="1" x14ac:dyDescent="0.15">
      <c r="A23" s="223">
        <v>19</v>
      </c>
      <c r="B23" s="682" t="s">
        <v>512</v>
      </c>
      <c r="C23" s="605">
        <v>2</v>
      </c>
      <c r="D23" s="605">
        <v>26</v>
      </c>
      <c r="E23" s="605">
        <v>37</v>
      </c>
      <c r="F23" s="605">
        <v>72</v>
      </c>
      <c r="G23" s="605">
        <v>29</v>
      </c>
      <c r="H23" s="605">
        <v>5</v>
      </c>
      <c r="I23" s="605">
        <f t="shared" si="0"/>
        <v>171</v>
      </c>
      <c r="J23" s="605">
        <v>15</v>
      </c>
      <c r="K23" s="605">
        <v>32</v>
      </c>
      <c r="L23" s="605">
        <v>56</v>
      </c>
      <c r="M23" s="605">
        <v>46</v>
      </c>
      <c r="N23" s="605">
        <v>18</v>
      </c>
      <c r="O23" s="605">
        <v>2</v>
      </c>
      <c r="P23" s="605">
        <f t="shared" si="1"/>
        <v>169</v>
      </c>
      <c r="Q23" s="606">
        <f t="shared" si="2"/>
        <v>340</v>
      </c>
    </row>
    <row r="24" spans="1:17" s="223" customFormat="1" x14ac:dyDescent="0.15">
      <c r="A24" s="223">
        <v>20</v>
      </c>
      <c r="B24" s="682" t="s">
        <v>513</v>
      </c>
      <c r="C24" s="605">
        <v>1</v>
      </c>
      <c r="D24" s="605">
        <v>3</v>
      </c>
      <c r="E24" s="605">
        <v>4</v>
      </c>
      <c r="F24" s="605">
        <v>21</v>
      </c>
      <c r="G24" s="605">
        <v>16</v>
      </c>
      <c r="H24" s="605">
        <v>3</v>
      </c>
      <c r="I24" s="605">
        <f t="shared" si="0"/>
        <v>48</v>
      </c>
      <c r="J24" s="605">
        <v>3</v>
      </c>
      <c r="K24" s="605">
        <v>10</v>
      </c>
      <c r="L24" s="605">
        <v>10</v>
      </c>
      <c r="M24" s="605">
        <v>17</v>
      </c>
      <c r="N24" s="605">
        <v>10</v>
      </c>
      <c r="O24" s="605">
        <v>2</v>
      </c>
      <c r="P24" s="605">
        <f t="shared" si="1"/>
        <v>52</v>
      </c>
      <c r="Q24" s="606">
        <f t="shared" si="2"/>
        <v>100</v>
      </c>
    </row>
    <row r="25" spans="1:17" s="223" customFormat="1" x14ac:dyDescent="0.15">
      <c r="A25" s="223">
        <v>21</v>
      </c>
      <c r="B25" s="682" t="s">
        <v>514</v>
      </c>
      <c r="C25" s="605">
        <v>1</v>
      </c>
      <c r="D25" s="605">
        <v>2</v>
      </c>
      <c r="E25" s="605">
        <v>24</v>
      </c>
      <c r="F25" s="605">
        <v>67</v>
      </c>
      <c r="G25" s="605">
        <v>47</v>
      </c>
      <c r="H25" s="605">
        <v>8</v>
      </c>
      <c r="I25" s="605">
        <f t="shared" si="0"/>
        <v>149</v>
      </c>
      <c r="J25" s="605">
        <v>1</v>
      </c>
      <c r="K25" s="605">
        <v>19</v>
      </c>
      <c r="L25" s="605">
        <v>31</v>
      </c>
      <c r="M25" s="605">
        <v>28</v>
      </c>
      <c r="N25" s="605">
        <v>16</v>
      </c>
      <c r="O25" s="605">
        <v>2</v>
      </c>
      <c r="P25" s="605">
        <f t="shared" si="1"/>
        <v>97</v>
      </c>
      <c r="Q25" s="606">
        <f t="shared" si="2"/>
        <v>246</v>
      </c>
    </row>
    <row r="26" spans="1:17" s="223" customFormat="1" x14ac:dyDescent="0.15">
      <c r="A26" s="223">
        <v>22</v>
      </c>
      <c r="B26" s="682" t="s">
        <v>515</v>
      </c>
      <c r="C26" s="605"/>
      <c r="D26" s="605">
        <v>4</v>
      </c>
      <c r="E26" s="605">
        <v>10</v>
      </c>
      <c r="F26" s="605">
        <v>16</v>
      </c>
      <c r="G26" s="605">
        <v>5</v>
      </c>
      <c r="H26" s="605">
        <v>2</v>
      </c>
      <c r="I26" s="605">
        <f t="shared" si="0"/>
        <v>37</v>
      </c>
      <c r="J26" s="605">
        <v>1</v>
      </c>
      <c r="K26" s="605">
        <v>7</v>
      </c>
      <c r="L26" s="605">
        <v>12</v>
      </c>
      <c r="M26" s="605">
        <v>11</v>
      </c>
      <c r="N26" s="605">
        <v>9</v>
      </c>
      <c r="O26" s="605"/>
      <c r="P26" s="605">
        <f t="shared" si="1"/>
        <v>40</v>
      </c>
      <c r="Q26" s="606">
        <f t="shared" si="2"/>
        <v>77</v>
      </c>
    </row>
    <row r="27" spans="1:17" s="223" customFormat="1" x14ac:dyDescent="0.15">
      <c r="A27" s="223">
        <v>23</v>
      </c>
      <c r="B27" s="682" t="s">
        <v>516</v>
      </c>
      <c r="C27" s="605">
        <v>1</v>
      </c>
      <c r="D27" s="605">
        <v>6</v>
      </c>
      <c r="E27" s="605">
        <v>23</v>
      </c>
      <c r="F27" s="605">
        <v>49</v>
      </c>
      <c r="G27" s="605">
        <v>21</v>
      </c>
      <c r="H27" s="605">
        <v>4</v>
      </c>
      <c r="I27" s="605">
        <f t="shared" si="0"/>
        <v>104</v>
      </c>
      <c r="J27" s="605">
        <v>3</v>
      </c>
      <c r="K27" s="605">
        <v>12</v>
      </c>
      <c r="L27" s="605">
        <v>14</v>
      </c>
      <c r="M27" s="605">
        <v>21</v>
      </c>
      <c r="N27" s="605">
        <v>20</v>
      </c>
      <c r="O27" s="605">
        <v>2</v>
      </c>
      <c r="P27" s="605">
        <f t="shared" si="1"/>
        <v>72</v>
      </c>
      <c r="Q27" s="606">
        <f t="shared" si="2"/>
        <v>176</v>
      </c>
    </row>
    <row r="28" spans="1:17" s="223" customFormat="1" x14ac:dyDescent="0.15">
      <c r="A28" s="223">
        <v>24</v>
      </c>
      <c r="B28" s="682" t="s">
        <v>517</v>
      </c>
      <c r="C28" s="605"/>
      <c r="D28" s="605">
        <v>3</v>
      </c>
      <c r="E28" s="605">
        <v>12</v>
      </c>
      <c r="F28" s="605">
        <v>32</v>
      </c>
      <c r="G28" s="605">
        <v>16</v>
      </c>
      <c r="H28" s="605">
        <v>3</v>
      </c>
      <c r="I28" s="605">
        <f t="shared" si="0"/>
        <v>66</v>
      </c>
      <c r="J28" s="605">
        <v>2</v>
      </c>
      <c r="K28" s="605">
        <v>8</v>
      </c>
      <c r="L28" s="605">
        <v>12</v>
      </c>
      <c r="M28" s="605">
        <v>13</v>
      </c>
      <c r="N28" s="605">
        <v>8</v>
      </c>
      <c r="O28" s="605"/>
      <c r="P28" s="605">
        <f t="shared" si="1"/>
        <v>43</v>
      </c>
      <c r="Q28" s="606">
        <f t="shared" si="2"/>
        <v>109</v>
      </c>
    </row>
    <row r="29" spans="1:17" s="223" customFormat="1" x14ac:dyDescent="0.15">
      <c r="A29" s="223">
        <v>25</v>
      </c>
      <c r="B29" s="682" t="s">
        <v>518</v>
      </c>
      <c r="C29" s="605"/>
      <c r="D29" s="605">
        <v>7</v>
      </c>
      <c r="E29" s="605">
        <v>27</v>
      </c>
      <c r="F29" s="605">
        <v>65</v>
      </c>
      <c r="G29" s="605">
        <v>20</v>
      </c>
      <c r="H29" s="605">
        <v>5</v>
      </c>
      <c r="I29" s="605">
        <f t="shared" si="0"/>
        <v>124</v>
      </c>
      <c r="J29" s="605">
        <v>4</v>
      </c>
      <c r="K29" s="605">
        <v>17</v>
      </c>
      <c r="L29" s="605">
        <v>37</v>
      </c>
      <c r="M29" s="605">
        <v>28</v>
      </c>
      <c r="N29" s="605">
        <v>14</v>
      </c>
      <c r="O29" s="605">
        <v>5</v>
      </c>
      <c r="P29" s="605">
        <f t="shared" si="1"/>
        <v>105</v>
      </c>
      <c r="Q29" s="606">
        <f t="shared" si="2"/>
        <v>229</v>
      </c>
    </row>
    <row r="30" spans="1:17" s="223" customFormat="1" x14ac:dyDescent="0.15">
      <c r="A30" s="223">
        <v>26</v>
      </c>
      <c r="B30" s="682" t="s">
        <v>519</v>
      </c>
      <c r="C30" s="605">
        <v>1</v>
      </c>
      <c r="D30" s="605"/>
      <c r="E30" s="605"/>
      <c r="F30" s="605">
        <v>6</v>
      </c>
      <c r="G30" s="605">
        <v>2</v>
      </c>
      <c r="H30" s="605"/>
      <c r="I30" s="605">
        <f t="shared" si="0"/>
        <v>9</v>
      </c>
      <c r="J30" s="605">
        <v>1</v>
      </c>
      <c r="K30" s="605"/>
      <c r="L30" s="605">
        <v>2</v>
      </c>
      <c r="M30" s="605">
        <v>3</v>
      </c>
      <c r="N30" s="605"/>
      <c r="O30" s="605">
        <v>2</v>
      </c>
      <c r="P30" s="605">
        <f t="shared" si="1"/>
        <v>8</v>
      </c>
      <c r="Q30" s="606">
        <f t="shared" si="2"/>
        <v>17</v>
      </c>
    </row>
    <row r="31" spans="1:17" s="223" customFormat="1" x14ac:dyDescent="0.15">
      <c r="A31" s="223">
        <v>27</v>
      </c>
      <c r="B31" s="682" t="s">
        <v>520</v>
      </c>
      <c r="C31" s="605"/>
      <c r="D31" s="605">
        <v>1</v>
      </c>
      <c r="E31" s="605">
        <v>4</v>
      </c>
      <c r="F31" s="605">
        <v>5</v>
      </c>
      <c r="G31" s="605">
        <v>1</v>
      </c>
      <c r="H31" s="605">
        <v>1</v>
      </c>
      <c r="I31" s="605">
        <f t="shared" si="0"/>
        <v>12</v>
      </c>
      <c r="J31" s="605"/>
      <c r="K31" s="605">
        <v>1</v>
      </c>
      <c r="L31" s="605">
        <v>3</v>
      </c>
      <c r="M31" s="605"/>
      <c r="N31" s="605">
        <v>2</v>
      </c>
      <c r="O31" s="605">
        <v>1</v>
      </c>
      <c r="P31" s="605">
        <f t="shared" si="1"/>
        <v>7</v>
      </c>
      <c r="Q31" s="606">
        <f t="shared" si="2"/>
        <v>19</v>
      </c>
    </row>
    <row r="32" spans="1:17" s="223" customFormat="1" x14ac:dyDescent="0.15">
      <c r="A32" s="223">
        <v>28</v>
      </c>
      <c r="B32" s="682" t="s">
        <v>521</v>
      </c>
      <c r="C32" s="605"/>
      <c r="D32" s="605"/>
      <c r="E32" s="605">
        <v>1</v>
      </c>
      <c r="F32" s="605">
        <v>1</v>
      </c>
      <c r="G32" s="605">
        <v>1</v>
      </c>
      <c r="H32" s="605"/>
      <c r="I32" s="605">
        <f t="shared" si="0"/>
        <v>3</v>
      </c>
      <c r="J32" s="605"/>
      <c r="K32" s="605">
        <v>1</v>
      </c>
      <c r="L32" s="605">
        <v>2</v>
      </c>
      <c r="M32" s="605">
        <v>2</v>
      </c>
      <c r="N32" s="605"/>
      <c r="O32" s="605"/>
      <c r="P32" s="605">
        <f t="shared" si="1"/>
        <v>5</v>
      </c>
      <c r="Q32" s="606">
        <f t="shared" si="2"/>
        <v>8</v>
      </c>
    </row>
    <row r="33" spans="1:17" s="223" customFormat="1" x14ac:dyDescent="0.15">
      <c r="A33" s="223">
        <v>29</v>
      </c>
      <c r="B33" s="682" t="s">
        <v>522</v>
      </c>
      <c r="C33" s="605">
        <v>1</v>
      </c>
      <c r="D33" s="605">
        <v>6</v>
      </c>
      <c r="E33" s="605">
        <v>25</v>
      </c>
      <c r="F33" s="605">
        <v>32</v>
      </c>
      <c r="G33" s="605">
        <v>23</v>
      </c>
      <c r="H33" s="605">
        <v>3</v>
      </c>
      <c r="I33" s="605">
        <f t="shared" si="0"/>
        <v>90</v>
      </c>
      <c r="J33" s="605">
        <v>6</v>
      </c>
      <c r="K33" s="605">
        <v>12</v>
      </c>
      <c r="L33" s="605">
        <v>28</v>
      </c>
      <c r="M33" s="605">
        <v>26</v>
      </c>
      <c r="N33" s="605">
        <v>11</v>
      </c>
      <c r="O33" s="605">
        <v>4</v>
      </c>
      <c r="P33" s="605">
        <f t="shared" si="1"/>
        <v>87</v>
      </c>
      <c r="Q33" s="606">
        <f t="shared" si="2"/>
        <v>177</v>
      </c>
    </row>
    <row r="34" spans="1:17" s="223" customFormat="1" x14ac:dyDescent="0.15">
      <c r="A34" s="223">
        <v>31</v>
      </c>
      <c r="B34" s="682" t="s">
        <v>523</v>
      </c>
      <c r="C34" s="605">
        <v>2</v>
      </c>
      <c r="D34" s="605">
        <v>19</v>
      </c>
      <c r="E34" s="605">
        <v>46</v>
      </c>
      <c r="F34" s="605">
        <v>98</v>
      </c>
      <c r="G34" s="605">
        <v>91</v>
      </c>
      <c r="H34" s="605">
        <v>19</v>
      </c>
      <c r="I34" s="605">
        <f t="shared" si="0"/>
        <v>275</v>
      </c>
      <c r="J34" s="605">
        <v>6</v>
      </c>
      <c r="K34" s="605">
        <v>21</v>
      </c>
      <c r="L34" s="605">
        <v>44</v>
      </c>
      <c r="M34" s="605">
        <v>35</v>
      </c>
      <c r="N34" s="605">
        <v>40</v>
      </c>
      <c r="O34" s="605">
        <v>5</v>
      </c>
      <c r="P34" s="605">
        <f t="shared" si="1"/>
        <v>151</v>
      </c>
      <c r="Q34" s="606">
        <f t="shared" si="2"/>
        <v>426</v>
      </c>
    </row>
    <row r="35" spans="1:17" s="223" customFormat="1" x14ac:dyDescent="0.15">
      <c r="A35" s="223">
        <v>32</v>
      </c>
      <c r="B35" s="682" t="s">
        <v>524</v>
      </c>
      <c r="C35" s="605">
        <v>1</v>
      </c>
      <c r="D35" s="605">
        <v>5</v>
      </c>
      <c r="E35" s="605">
        <v>18</v>
      </c>
      <c r="F35" s="605">
        <v>27</v>
      </c>
      <c r="G35" s="605">
        <v>46</v>
      </c>
      <c r="H35" s="605">
        <v>5</v>
      </c>
      <c r="I35" s="605">
        <f t="shared" si="0"/>
        <v>102</v>
      </c>
      <c r="J35" s="605">
        <v>1</v>
      </c>
      <c r="K35" s="605">
        <v>15</v>
      </c>
      <c r="L35" s="605">
        <v>12</v>
      </c>
      <c r="M35" s="605">
        <v>13</v>
      </c>
      <c r="N35" s="605">
        <v>22</v>
      </c>
      <c r="O35" s="605">
        <v>2</v>
      </c>
      <c r="P35" s="605">
        <f t="shared" si="1"/>
        <v>65</v>
      </c>
      <c r="Q35" s="606">
        <f t="shared" si="2"/>
        <v>167</v>
      </c>
    </row>
    <row r="36" spans="1:17" s="223" customFormat="1" x14ac:dyDescent="0.15">
      <c r="A36" s="223">
        <v>33</v>
      </c>
      <c r="B36" s="682" t="s">
        <v>525</v>
      </c>
      <c r="C36" s="605"/>
      <c r="D36" s="605">
        <v>2</v>
      </c>
      <c r="E36" s="605">
        <v>13</v>
      </c>
      <c r="F36" s="605">
        <v>55</v>
      </c>
      <c r="G36" s="605">
        <v>128</v>
      </c>
      <c r="H36" s="605">
        <v>8</v>
      </c>
      <c r="I36" s="605">
        <f t="shared" si="0"/>
        <v>206</v>
      </c>
      <c r="J36" s="605">
        <v>3</v>
      </c>
      <c r="K36" s="605">
        <v>5</v>
      </c>
      <c r="L36" s="605">
        <v>8</v>
      </c>
      <c r="M36" s="605">
        <v>19</v>
      </c>
      <c r="N36" s="605">
        <v>24</v>
      </c>
      <c r="O36" s="605">
        <v>2</v>
      </c>
      <c r="P36" s="605">
        <f t="shared" si="1"/>
        <v>61</v>
      </c>
      <c r="Q36" s="606">
        <f t="shared" si="2"/>
        <v>267</v>
      </c>
    </row>
    <row r="37" spans="1:17" s="223" customFormat="1" x14ac:dyDescent="0.15">
      <c r="A37" s="223">
        <v>34</v>
      </c>
      <c r="B37" s="682" t="s">
        <v>526</v>
      </c>
      <c r="C37" s="605"/>
      <c r="D37" s="605">
        <v>1</v>
      </c>
      <c r="E37" s="605">
        <v>3</v>
      </c>
      <c r="F37" s="605">
        <v>10</v>
      </c>
      <c r="G37" s="605">
        <v>15</v>
      </c>
      <c r="H37" s="605">
        <v>3</v>
      </c>
      <c r="I37" s="605">
        <f t="shared" si="0"/>
        <v>32</v>
      </c>
      <c r="J37" s="605"/>
      <c r="K37" s="605">
        <v>2</v>
      </c>
      <c r="L37" s="605">
        <v>5</v>
      </c>
      <c r="M37" s="605">
        <v>7</v>
      </c>
      <c r="N37" s="605">
        <v>5</v>
      </c>
      <c r="O37" s="605"/>
      <c r="P37" s="605">
        <f t="shared" si="1"/>
        <v>19</v>
      </c>
      <c r="Q37" s="606">
        <f t="shared" si="2"/>
        <v>51</v>
      </c>
    </row>
    <row r="38" spans="1:17" s="223" customFormat="1" x14ac:dyDescent="0.15">
      <c r="A38" s="223">
        <v>35</v>
      </c>
      <c r="B38" s="682" t="s">
        <v>527</v>
      </c>
      <c r="C38" s="605">
        <v>2</v>
      </c>
      <c r="D38" s="605">
        <v>24</v>
      </c>
      <c r="E38" s="605">
        <v>64</v>
      </c>
      <c r="F38" s="605">
        <v>165</v>
      </c>
      <c r="G38" s="605">
        <v>179</v>
      </c>
      <c r="H38" s="605">
        <v>37</v>
      </c>
      <c r="I38" s="605">
        <f t="shared" si="0"/>
        <v>471</v>
      </c>
      <c r="J38" s="605">
        <v>7</v>
      </c>
      <c r="K38" s="605">
        <v>25</v>
      </c>
      <c r="L38" s="605">
        <v>46</v>
      </c>
      <c r="M38" s="605">
        <v>66</v>
      </c>
      <c r="N38" s="605">
        <v>85</v>
      </c>
      <c r="O38" s="605">
        <v>11</v>
      </c>
      <c r="P38" s="605">
        <f t="shared" si="1"/>
        <v>240</v>
      </c>
      <c r="Q38" s="606">
        <f t="shared" si="2"/>
        <v>711</v>
      </c>
    </row>
    <row r="39" spans="1:17" s="223" customFormat="1" x14ac:dyDescent="0.15">
      <c r="A39" s="223">
        <v>36</v>
      </c>
      <c r="B39" s="682" t="s">
        <v>528</v>
      </c>
      <c r="C39" s="605">
        <v>2</v>
      </c>
      <c r="D39" s="605">
        <v>10</v>
      </c>
      <c r="E39" s="605">
        <v>94</v>
      </c>
      <c r="F39" s="605">
        <v>171</v>
      </c>
      <c r="G39" s="605">
        <v>117</v>
      </c>
      <c r="H39" s="605">
        <v>33</v>
      </c>
      <c r="I39" s="605">
        <f t="shared" si="0"/>
        <v>427</v>
      </c>
      <c r="J39" s="605">
        <v>2</v>
      </c>
      <c r="K39" s="605">
        <v>11</v>
      </c>
      <c r="L39" s="605">
        <v>31</v>
      </c>
      <c r="M39" s="605">
        <v>52</v>
      </c>
      <c r="N39" s="605">
        <v>42</v>
      </c>
      <c r="O39" s="605">
        <v>7</v>
      </c>
      <c r="P39" s="605">
        <f t="shared" si="1"/>
        <v>145</v>
      </c>
      <c r="Q39" s="606">
        <f t="shared" si="2"/>
        <v>572</v>
      </c>
    </row>
    <row r="40" spans="1:17" s="223" customFormat="1" x14ac:dyDescent="0.15">
      <c r="A40" s="223">
        <v>37</v>
      </c>
      <c r="B40" s="682" t="s">
        <v>529</v>
      </c>
      <c r="C40" s="605"/>
      <c r="D40" s="605">
        <v>1</v>
      </c>
      <c r="E40" s="605">
        <v>5</v>
      </c>
      <c r="F40" s="605">
        <v>48</v>
      </c>
      <c r="G40" s="605">
        <v>33</v>
      </c>
      <c r="H40" s="605">
        <v>2</v>
      </c>
      <c r="I40" s="605">
        <f t="shared" si="0"/>
        <v>89</v>
      </c>
      <c r="J40" s="605"/>
      <c r="K40" s="605">
        <v>1</v>
      </c>
      <c r="L40" s="605">
        <v>14</v>
      </c>
      <c r="M40" s="605">
        <v>21</v>
      </c>
      <c r="N40" s="605">
        <v>15</v>
      </c>
      <c r="O40" s="605">
        <v>2</v>
      </c>
      <c r="P40" s="605">
        <f t="shared" si="1"/>
        <v>53</v>
      </c>
      <c r="Q40" s="606">
        <f t="shared" si="2"/>
        <v>142</v>
      </c>
    </row>
    <row r="41" spans="1:17" s="223" customFormat="1" x14ac:dyDescent="0.15">
      <c r="A41" s="223">
        <v>38</v>
      </c>
      <c r="B41" s="682" t="s">
        <v>530</v>
      </c>
      <c r="C41" s="605">
        <v>1</v>
      </c>
      <c r="D41" s="605">
        <v>7</v>
      </c>
      <c r="E41" s="605">
        <v>39</v>
      </c>
      <c r="F41" s="605">
        <v>96</v>
      </c>
      <c r="G41" s="605">
        <v>56</v>
      </c>
      <c r="H41" s="605">
        <v>9</v>
      </c>
      <c r="I41" s="605">
        <f t="shared" si="0"/>
        <v>208</v>
      </c>
      <c r="J41" s="605"/>
      <c r="K41" s="605">
        <v>2</v>
      </c>
      <c r="L41" s="605">
        <v>22</v>
      </c>
      <c r="M41" s="605">
        <v>57</v>
      </c>
      <c r="N41" s="605">
        <v>27</v>
      </c>
      <c r="O41" s="605">
        <v>5</v>
      </c>
      <c r="P41" s="605">
        <f t="shared" si="1"/>
        <v>113</v>
      </c>
      <c r="Q41" s="606">
        <f t="shared" si="2"/>
        <v>321</v>
      </c>
    </row>
    <row r="42" spans="1:17" s="223" customFormat="1" x14ac:dyDescent="0.15">
      <c r="A42" s="223">
        <v>39</v>
      </c>
      <c r="B42" s="682" t="s">
        <v>531</v>
      </c>
      <c r="C42" s="605"/>
      <c r="D42" s="605">
        <v>1</v>
      </c>
      <c r="E42" s="605">
        <v>1</v>
      </c>
      <c r="F42" s="605">
        <v>6</v>
      </c>
      <c r="G42" s="605">
        <v>4</v>
      </c>
      <c r="H42" s="605">
        <v>1</v>
      </c>
      <c r="I42" s="605">
        <f t="shared" si="0"/>
        <v>13</v>
      </c>
      <c r="J42" s="605"/>
      <c r="K42" s="605"/>
      <c r="L42" s="605"/>
      <c r="M42" s="605">
        <v>6</v>
      </c>
      <c r="N42" s="605">
        <v>1</v>
      </c>
      <c r="O42" s="605"/>
      <c r="P42" s="605">
        <f t="shared" si="1"/>
        <v>7</v>
      </c>
      <c r="Q42" s="606">
        <f t="shared" si="2"/>
        <v>20</v>
      </c>
    </row>
    <row r="43" spans="1:17" s="223" customFormat="1" x14ac:dyDescent="0.15">
      <c r="A43" s="223">
        <v>40</v>
      </c>
      <c r="B43" s="682" t="s">
        <v>532</v>
      </c>
      <c r="C43" s="605"/>
      <c r="D43" s="605">
        <v>6</v>
      </c>
      <c r="E43" s="605">
        <v>27</v>
      </c>
      <c r="F43" s="605">
        <v>114</v>
      </c>
      <c r="G43" s="605">
        <v>55</v>
      </c>
      <c r="H43" s="605">
        <v>2</v>
      </c>
      <c r="I43" s="605">
        <f t="shared" si="0"/>
        <v>204</v>
      </c>
      <c r="J43" s="605">
        <v>3</v>
      </c>
      <c r="K43" s="605">
        <v>9</v>
      </c>
      <c r="L43" s="605">
        <v>33</v>
      </c>
      <c r="M43" s="605">
        <v>44</v>
      </c>
      <c r="N43" s="605">
        <v>15</v>
      </c>
      <c r="O43" s="605">
        <v>1</v>
      </c>
      <c r="P43" s="605">
        <f t="shared" si="1"/>
        <v>105</v>
      </c>
      <c r="Q43" s="606">
        <f t="shared" si="2"/>
        <v>309</v>
      </c>
    </row>
    <row r="44" spans="1:17" s="223" customFormat="1" x14ac:dyDescent="0.15">
      <c r="A44" s="223">
        <v>41</v>
      </c>
      <c r="B44" s="682" t="s">
        <v>533</v>
      </c>
      <c r="C44" s="605"/>
      <c r="D44" s="605">
        <v>1</v>
      </c>
      <c r="E44" s="605">
        <v>11</v>
      </c>
      <c r="F44" s="605">
        <v>53</v>
      </c>
      <c r="G44" s="605">
        <v>17</v>
      </c>
      <c r="H44" s="605">
        <v>3</v>
      </c>
      <c r="I44" s="605">
        <f t="shared" si="0"/>
        <v>85</v>
      </c>
      <c r="J44" s="605">
        <v>1</v>
      </c>
      <c r="K44" s="605">
        <v>3</v>
      </c>
      <c r="L44" s="605">
        <v>25</v>
      </c>
      <c r="M44" s="605">
        <v>18</v>
      </c>
      <c r="N44" s="605">
        <v>18</v>
      </c>
      <c r="O44" s="605"/>
      <c r="P44" s="605">
        <f t="shared" si="1"/>
        <v>65</v>
      </c>
      <c r="Q44" s="606">
        <f t="shared" si="2"/>
        <v>150</v>
      </c>
    </row>
    <row r="45" spans="1:17" s="223" customFormat="1" x14ac:dyDescent="0.15">
      <c r="A45" s="223">
        <v>42</v>
      </c>
      <c r="B45" s="682" t="s">
        <v>534</v>
      </c>
      <c r="C45" s="605"/>
      <c r="D45" s="605">
        <v>2</v>
      </c>
      <c r="E45" s="605">
        <v>3</v>
      </c>
      <c r="F45" s="605">
        <v>17</v>
      </c>
      <c r="G45" s="605">
        <v>7</v>
      </c>
      <c r="H45" s="605"/>
      <c r="I45" s="605">
        <f t="shared" si="0"/>
        <v>29</v>
      </c>
      <c r="J45" s="605"/>
      <c r="K45" s="605"/>
      <c r="L45" s="605">
        <v>7</v>
      </c>
      <c r="M45" s="605">
        <v>6</v>
      </c>
      <c r="N45" s="605">
        <v>1</v>
      </c>
      <c r="O45" s="605"/>
      <c r="P45" s="605">
        <f t="shared" si="1"/>
        <v>14</v>
      </c>
      <c r="Q45" s="606">
        <f t="shared" si="2"/>
        <v>43</v>
      </c>
    </row>
    <row r="46" spans="1:17" x14ac:dyDescent="0.15">
      <c r="B46" s="739"/>
      <c r="C46" s="1009" t="s">
        <v>489</v>
      </c>
      <c r="D46" s="1010"/>
      <c r="E46" s="1010"/>
      <c r="F46" s="1010"/>
      <c r="G46" s="1010"/>
      <c r="H46" s="1010"/>
      <c r="I46" s="1011"/>
      <c r="J46" s="1009" t="s">
        <v>490</v>
      </c>
      <c r="K46" s="1010"/>
      <c r="L46" s="1010"/>
      <c r="M46" s="1010"/>
      <c r="N46" s="1010"/>
      <c r="O46" s="1010"/>
      <c r="P46" s="1011"/>
      <c r="Q46" s="1012" t="s">
        <v>62</v>
      </c>
    </row>
    <row r="47" spans="1:17" ht="44.25" customHeight="1" thickBot="1" x14ac:dyDescent="0.2">
      <c r="B47" s="740"/>
      <c r="C47" s="607" t="s">
        <v>276</v>
      </c>
      <c r="D47" s="608" t="s">
        <v>277</v>
      </c>
      <c r="E47" s="607" t="s">
        <v>491</v>
      </c>
      <c r="F47" s="607" t="s">
        <v>492</v>
      </c>
      <c r="G47" s="607" t="s">
        <v>493</v>
      </c>
      <c r="H47" s="607" t="s">
        <v>494</v>
      </c>
      <c r="I47" s="607" t="s">
        <v>495</v>
      </c>
      <c r="J47" s="607" t="s">
        <v>276</v>
      </c>
      <c r="K47" s="608" t="s">
        <v>277</v>
      </c>
      <c r="L47" s="607" t="s">
        <v>491</v>
      </c>
      <c r="M47" s="607" t="s">
        <v>492</v>
      </c>
      <c r="N47" s="607" t="s">
        <v>493</v>
      </c>
      <c r="O47" s="607" t="s">
        <v>494</v>
      </c>
      <c r="P47" s="607" t="s">
        <v>495</v>
      </c>
      <c r="Q47" s="1014"/>
    </row>
    <row r="48" spans="1:17" s="223" customFormat="1" ht="19.5" thickBot="1" x14ac:dyDescent="0.2">
      <c r="B48" s="742" t="s">
        <v>393</v>
      </c>
      <c r="C48" s="609">
        <f>SUM(C49:C73)</f>
        <v>10</v>
      </c>
      <c r="D48" s="609">
        <f t="shared" ref="D48:H48" si="3">SUM(D49:D73)</f>
        <v>83</v>
      </c>
      <c r="E48" s="609">
        <f t="shared" si="3"/>
        <v>312</v>
      </c>
      <c r="F48" s="609">
        <f t="shared" si="3"/>
        <v>716</v>
      </c>
      <c r="G48" s="609">
        <f t="shared" si="3"/>
        <v>481</v>
      </c>
      <c r="H48" s="609">
        <f t="shared" si="3"/>
        <v>88</v>
      </c>
      <c r="I48" s="609">
        <f>SUM(I49:I73)</f>
        <v>1690</v>
      </c>
      <c r="J48" s="609">
        <f>SUM(J49:J73)</f>
        <v>79</v>
      </c>
      <c r="K48" s="609">
        <f t="shared" ref="K48:P48" si="4">SUM(K49:K73)</f>
        <v>224</v>
      </c>
      <c r="L48" s="609">
        <f t="shared" si="4"/>
        <v>387</v>
      </c>
      <c r="M48" s="609">
        <f t="shared" si="4"/>
        <v>413</v>
      </c>
      <c r="N48" s="609">
        <f t="shared" si="4"/>
        <v>281</v>
      </c>
      <c r="O48" s="609">
        <f t="shared" si="4"/>
        <v>53</v>
      </c>
      <c r="P48" s="609">
        <f t="shared" si="4"/>
        <v>1437</v>
      </c>
      <c r="Q48" s="609">
        <f>SUM(I48,P48)</f>
        <v>3127</v>
      </c>
    </row>
    <row r="49" spans="1:17" s="223" customFormat="1" x14ac:dyDescent="0.15">
      <c r="A49" s="223">
        <v>43</v>
      </c>
      <c r="B49" s="683" t="s">
        <v>535</v>
      </c>
      <c r="C49" s="610">
        <v>1</v>
      </c>
      <c r="D49" s="610"/>
      <c r="E49" s="610">
        <v>7</v>
      </c>
      <c r="F49" s="610">
        <v>28</v>
      </c>
      <c r="G49" s="610">
        <v>12</v>
      </c>
      <c r="H49" s="610">
        <v>4</v>
      </c>
      <c r="I49" s="610">
        <f t="shared" ref="I49:I90" si="5">SUM(C49:H49)</f>
        <v>52</v>
      </c>
      <c r="J49" s="610">
        <v>1</v>
      </c>
      <c r="K49" s="610">
        <v>5</v>
      </c>
      <c r="L49" s="610">
        <v>11</v>
      </c>
      <c r="M49" s="610">
        <v>6</v>
      </c>
      <c r="N49" s="610">
        <v>13</v>
      </c>
      <c r="O49" s="610">
        <v>1</v>
      </c>
      <c r="P49" s="610">
        <f t="shared" ref="P49:P73" si="6">SUM(J49:O49)</f>
        <v>37</v>
      </c>
      <c r="Q49" s="611">
        <f>SUM(I49,P49)</f>
        <v>89</v>
      </c>
    </row>
    <row r="50" spans="1:17" s="223" customFormat="1" x14ac:dyDescent="0.15">
      <c r="A50" s="223">
        <v>44</v>
      </c>
      <c r="B50" s="684" t="s">
        <v>536</v>
      </c>
      <c r="C50" s="605"/>
      <c r="D50" s="605">
        <v>2</v>
      </c>
      <c r="E50" s="605">
        <v>9</v>
      </c>
      <c r="F50" s="605">
        <v>24</v>
      </c>
      <c r="G50" s="605">
        <v>12</v>
      </c>
      <c r="H50" s="605">
        <v>2</v>
      </c>
      <c r="I50" s="605">
        <f t="shared" si="5"/>
        <v>49</v>
      </c>
      <c r="J50" s="605">
        <v>4</v>
      </c>
      <c r="K50" s="605">
        <v>5</v>
      </c>
      <c r="L50" s="605">
        <v>11</v>
      </c>
      <c r="M50" s="605">
        <v>15</v>
      </c>
      <c r="N50" s="605">
        <v>5</v>
      </c>
      <c r="O50" s="605">
        <v>2</v>
      </c>
      <c r="P50" s="605">
        <f t="shared" si="6"/>
        <v>42</v>
      </c>
      <c r="Q50" s="606">
        <f t="shared" si="2"/>
        <v>91</v>
      </c>
    </row>
    <row r="51" spans="1:17" s="223" customFormat="1" x14ac:dyDescent="0.15">
      <c r="A51" s="223">
        <v>45</v>
      </c>
      <c r="B51" s="684" t="s">
        <v>537</v>
      </c>
      <c r="C51" s="605"/>
      <c r="D51" s="605">
        <v>1</v>
      </c>
      <c r="E51" s="605">
        <v>7</v>
      </c>
      <c r="F51" s="605">
        <v>16</v>
      </c>
      <c r="G51" s="605">
        <v>9</v>
      </c>
      <c r="H51" s="605">
        <v>4</v>
      </c>
      <c r="I51" s="605">
        <f t="shared" si="5"/>
        <v>37</v>
      </c>
      <c r="J51" s="605"/>
      <c r="K51" s="605">
        <v>5</v>
      </c>
      <c r="L51" s="605">
        <v>7</v>
      </c>
      <c r="M51" s="605">
        <v>6</v>
      </c>
      <c r="N51" s="605">
        <v>2</v>
      </c>
      <c r="O51" s="605">
        <v>1</v>
      </c>
      <c r="P51" s="605">
        <f t="shared" si="6"/>
        <v>21</v>
      </c>
      <c r="Q51" s="606">
        <f t="shared" si="2"/>
        <v>58</v>
      </c>
    </row>
    <row r="52" spans="1:17" s="223" customFormat="1" x14ac:dyDescent="0.15">
      <c r="A52" s="223">
        <v>46</v>
      </c>
      <c r="B52" s="684" t="s">
        <v>538</v>
      </c>
      <c r="C52" s="605">
        <v>1</v>
      </c>
      <c r="D52" s="605"/>
      <c r="E52" s="605">
        <v>6</v>
      </c>
      <c r="F52" s="605">
        <v>29</v>
      </c>
      <c r="G52" s="605">
        <v>13</v>
      </c>
      <c r="H52" s="605">
        <v>1</v>
      </c>
      <c r="I52" s="605">
        <f t="shared" si="5"/>
        <v>50</v>
      </c>
      <c r="J52" s="605">
        <v>1</v>
      </c>
      <c r="K52" s="605">
        <v>3</v>
      </c>
      <c r="L52" s="605">
        <v>7</v>
      </c>
      <c r="M52" s="605">
        <v>6</v>
      </c>
      <c r="N52" s="605">
        <v>7</v>
      </c>
      <c r="O52" s="605">
        <v>1</v>
      </c>
      <c r="P52" s="605">
        <f t="shared" si="6"/>
        <v>25</v>
      </c>
      <c r="Q52" s="606">
        <f t="shared" si="2"/>
        <v>75</v>
      </c>
    </row>
    <row r="53" spans="1:17" s="223" customFormat="1" x14ac:dyDescent="0.15">
      <c r="A53" s="223">
        <v>47</v>
      </c>
      <c r="B53" s="684" t="s">
        <v>539</v>
      </c>
      <c r="C53" s="605"/>
      <c r="D53" s="605">
        <v>1</v>
      </c>
      <c r="E53" s="605">
        <v>3</v>
      </c>
      <c r="F53" s="605">
        <v>12</v>
      </c>
      <c r="G53" s="605">
        <v>6</v>
      </c>
      <c r="H53" s="605">
        <v>2</v>
      </c>
      <c r="I53" s="605">
        <f t="shared" si="5"/>
        <v>24</v>
      </c>
      <c r="J53" s="605">
        <v>1</v>
      </c>
      <c r="K53" s="605">
        <v>2</v>
      </c>
      <c r="L53" s="605">
        <v>6</v>
      </c>
      <c r="M53" s="605">
        <v>13</v>
      </c>
      <c r="N53" s="605">
        <v>3</v>
      </c>
      <c r="O53" s="605">
        <v>1</v>
      </c>
      <c r="P53" s="605">
        <f t="shared" si="6"/>
        <v>26</v>
      </c>
      <c r="Q53" s="606">
        <f t="shared" si="2"/>
        <v>50</v>
      </c>
    </row>
    <row r="54" spans="1:17" s="223" customFormat="1" x14ac:dyDescent="0.15">
      <c r="A54" s="223">
        <v>48</v>
      </c>
      <c r="B54" s="684" t="s">
        <v>540</v>
      </c>
      <c r="C54" s="605"/>
      <c r="D54" s="605">
        <v>1</v>
      </c>
      <c r="E54" s="605">
        <v>7</v>
      </c>
      <c r="F54" s="605">
        <v>14</v>
      </c>
      <c r="G54" s="605">
        <v>8</v>
      </c>
      <c r="H54" s="605"/>
      <c r="I54" s="605">
        <f t="shared" si="5"/>
        <v>30</v>
      </c>
      <c r="J54" s="605">
        <v>5</v>
      </c>
      <c r="K54" s="605">
        <v>2</v>
      </c>
      <c r="L54" s="605">
        <v>10</v>
      </c>
      <c r="M54" s="605">
        <v>9</v>
      </c>
      <c r="N54" s="605">
        <v>7</v>
      </c>
      <c r="O54" s="605"/>
      <c r="P54" s="605">
        <f t="shared" si="6"/>
        <v>33</v>
      </c>
      <c r="Q54" s="606">
        <f t="shared" si="2"/>
        <v>63</v>
      </c>
    </row>
    <row r="55" spans="1:17" s="223" customFormat="1" x14ac:dyDescent="0.15">
      <c r="A55" s="223">
        <v>49</v>
      </c>
      <c r="B55" s="684" t="s">
        <v>541</v>
      </c>
      <c r="C55" s="605"/>
      <c r="D55" s="605">
        <v>3</v>
      </c>
      <c r="E55" s="605">
        <v>8</v>
      </c>
      <c r="F55" s="605">
        <v>30</v>
      </c>
      <c r="G55" s="605">
        <v>13</v>
      </c>
      <c r="H55" s="605">
        <v>3</v>
      </c>
      <c r="I55" s="605">
        <f t="shared" si="5"/>
        <v>57</v>
      </c>
      <c r="J55" s="605">
        <v>2</v>
      </c>
      <c r="K55" s="605">
        <v>7</v>
      </c>
      <c r="L55" s="605">
        <v>11</v>
      </c>
      <c r="M55" s="605">
        <v>9</v>
      </c>
      <c r="N55" s="605">
        <v>6</v>
      </c>
      <c r="O55" s="605">
        <v>2</v>
      </c>
      <c r="P55" s="605">
        <f t="shared" si="6"/>
        <v>37</v>
      </c>
      <c r="Q55" s="606">
        <f t="shared" si="2"/>
        <v>94</v>
      </c>
    </row>
    <row r="56" spans="1:17" s="223" customFormat="1" x14ac:dyDescent="0.15">
      <c r="A56" s="223">
        <v>50</v>
      </c>
      <c r="B56" s="684" t="s">
        <v>542</v>
      </c>
      <c r="C56" s="605"/>
      <c r="D56" s="605">
        <v>1</v>
      </c>
      <c r="E56" s="605">
        <v>7</v>
      </c>
      <c r="F56" s="605">
        <v>18</v>
      </c>
      <c r="G56" s="605">
        <v>16</v>
      </c>
      <c r="H56" s="605">
        <v>4</v>
      </c>
      <c r="I56" s="605">
        <f t="shared" si="5"/>
        <v>46</v>
      </c>
      <c r="J56" s="605">
        <v>2</v>
      </c>
      <c r="K56" s="605">
        <v>4</v>
      </c>
      <c r="L56" s="605">
        <v>6</v>
      </c>
      <c r="M56" s="605">
        <v>6</v>
      </c>
      <c r="N56" s="605">
        <v>4</v>
      </c>
      <c r="O56" s="605">
        <v>1</v>
      </c>
      <c r="P56" s="605">
        <f t="shared" si="6"/>
        <v>23</v>
      </c>
      <c r="Q56" s="606">
        <f t="shared" si="2"/>
        <v>69</v>
      </c>
    </row>
    <row r="57" spans="1:17" s="223" customFormat="1" x14ac:dyDescent="0.15">
      <c r="A57" s="223">
        <v>51</v>
      </c>
      <c r="B57" s="684" t="s">
        <v>543</v>
      </c>
      <c r="C57" s="605"/>
      <c r="D57" s="605">
        <v>4</v>
      </c>
      <c r="E57" s="605">
        <v>2</v>
      </c>
      <c r="F57" s="605">
        <v>14</v>
      </c>
      <c r="G57" s="605">
        <v>6</v>
      </c>
      <c r="H57" s="605">
        <v>1</v>
      </c>
      <c r="I57" s="605">
        <f t="shared" si="5"/>
        <v>27</v>
      </c>
      <c r="J57" s="605">
        <v>2</v>
      </c>
      <c r="K57" s="605">
        <v>5</v>
      </c>
      <c r="L57" s="605">
        <v>4</v>
      </c>
      <c r="M57" s="605">
        <v>10</v>
      </c>
      <c r="N57" s="605">
        <v>2</v>
      </c>
      <c r="O57" s="605">
        <v>1</v>
      </c>
      <c r="P57" s="605">
        <f t="shared" si="6"/>
        <v>24</v>
      </c>
      <c r="Q57" s="606">
        <f t="shared" si="2"/>
        <v>51</v>
      </c>
    </row>
    <row r="58" spans="1:17" s="223" customFormat="1" x14ac:dyDescent="0.15">
      <c r="A58" s="223">
        <v>52</v>
      </c>
      <c r="B58" s="684" t="s">
        <v>544</v>
      </c>
      <c r="C58" s="605"/>
      <c r="D58" s="605">
        <v>2</v>
      </c>
      <c r="E58" s="605">
        <v>5</v>
      </c>
      <c r="F58" s="605">
        <v>11</v>
      </c>
      <c r="G58" s="605">
        <v>9</v>
      </c>
      <c r="H58" s="605">
        <v>2</v>
      </c>
      <c r="I58" s="605">
        <f t="shared" si="5"/>
        <v>29</v>
      </c>
      <c r="J58" s="605">
        <v>2</v>
      </c>
      <c r="K58" s="605">
        <v>8</v>
      </c>
      <c r="L58" s="605">
        <v>6</v>
      </c>
      <c r="M58" s="605">
        <v>6</v>
      </c>
      <c r="N58" s="605">
        <v>10</v>
      </c>
      <c r="O58" s="605">
        <v>2</v>
      </c>
      <c r="P58" s="605">
        <f t="shared" si="6"/>
        <v>34</v>
      </c>
      <c r="Q58" s="606">
        <f t="shared" si="2"/>
        <v>63</v>
      </c>
    </row>
    <row r="59" spans="1:17" s="223" customFormat="1" x14ac:dyDescent="0.15">
      <c r="A59" s="223">
        <v>53</v>
      </c>
      <c r="B59" s="684" t="s">
        <v>545</v>
      </c>
      <c r="C59" s="605"/>
      <c r="D59" s="605">
        <v>2</v>
      </c>
      <c r="E59" s="605">
        <v>7</v>
      </c>
      <c r="F59" s="605">
        <v>24</v>
      </c>
      <c r="G59" s="605">
        <v>23</v>
      </c>
      <c r="H59" s="605">
        <v>5</v>
      </c>
      <c r="I59" s="605">
        <f t="shared" si="5"/>
        <v>61</v>
      </c>
      <c r="J59" s="605">
        <v>3</v>
      </c>
      <c r="K59" s="605">
        <v>5</v>
      </c>
      <c r="L59" s="605">
        <v>9</v>
      </c>
      <c r="M59" s="605">
        <v>7</v>
      </c>
      <c r="N59" s="605">
        <v>4</v>
      </c>
      <c r="O59" s="605"/>
      <c r="P59" s="605">
        <f t="shared" si="6"/>
        <v>28</v>
      </c>
      <c r="Q59" s="606">
        <f t="shared" si="2"/>
        <v>89</v>
      </c>
    </row>
    <row r="60" spans="1:17" s="223" customFormat="1" x14ac:dyDescent="0.15">
      <c r="A60" s="223">
        <v>54</v>
      </c>
      <c r="B60" s="684" t="s">
        <v>546</v>
      </c>
      <c r="C60" s="605"/>
      <c r="D60" s="605">
        <v>6</v>
      </c>
      <c r="E60" s="605">
        <v>13</v>
      </c>
      <c r="F60" s="605">
        <v>36</v>
      </c>
      <c r="G60" s="605">
        <v>31</v>
      </c>
      <c r="H60" s="605">
        <v>8</v>
      </c>
      <c r="I60" s="605">
        <f t="shared" si="5"/>
        <v>94</v>
      </c>
      <c r="J60" s="605">
        <v>7</v>
      </c>
      <c r="K60" s="605">
        <v>12</v>
      </c>
      <c r="L60" s="605">
        <v>25</v>
      </c>
      <c r="M60" s="605">
        <v>26</v>
      </c>
      <c r="N60" s="605">
        <v>22</v>
      </c>
      <c r="O60" s="605">
        <v>3</v>
      </c>
      <c r="P60" s="605">
        <f t="shared" si="6"/>
        <v>95</v>
      </c>
      <c r="Q60" s="606">
        <f t="shared" si="2"/>
        <v>189</v>
      </c>
    </row>
    <row r="61" spans="1:17" s="223" customFormat="1" x14ac:dyDescent="0.15">
      <c r="A61" s="223">
        <v>55</v>
      </c>
      <c r="B61" s="684" t="s">
        <v>547</v>
      </c>
      <c r="C61" s="605">
        <v>1</v>
      </c>
      <c r="D61" s="605">
        <v>6</v>
      </c>
      <c r="E61" s="605">
        <v>14</v>
      </c>
      <c r="F61" s="605">
        <v>54</v>
      </c>
      <c r="G61" s="605">
        <v>41</v>
      </c>
      <c r="H61" s="605">
        <v>5</v>
      </c>
      <c r="I61" s="605">
        <f t="shared" si="5"/>
        <v>121</v>
      </c>
      <c r="J61" s="605">
        <v>7</v>
      </c>
      <c r="K61" s="605">
        <v>15</v>
      </c>
      <c r="L61" s="605">
        <v>26</v>
      </c>
      <c r="M61" s="605">
        <v>37</v>
      </c>
      <c r="N61" s="605">
        <v>26</v>
      </c>
      <c r="O61" s="605">
        <v>5</v>
      </c>
      <c r="P61" s="605">
        <f t="shared" si="6"/>
        <v>116</v>
      </c>
      <c r="Q61" s="606">
        <f t="shared" si="2"/>
        <v>237</v>
      </c>
    </row>
    <row r="62" spans="1:17" s="223" customFormat="1" x14ac:dyDescent="0.15">
      <c r="A62" s="223">
        <v>56</v>
      </c>
      <c r="B62" s="684" t="s">
        <v>548</v>
      </c>
      <c r="C62" s="605">
        <v>1</v>
      </c>
      <c r="D62" s="605">
        <v>2</v>
      </c>
      <c r="E62" s="605">
        <v>6</v>
      </c>
      <c r="F62" s="605">
        <v>16</v>
      </c>
      <c r="G62" s="605">
        <v>12</v>
      </c>
      <c r="H62" s="605">
        <v>1</v>
      </c>
      <c r="I62" s="605">
        <f t="shared" si="5"/>
        <v>38</v>
      </c>
      <c r="J62" s="605">
        <v>4</v>
      </c>
      <c r="K62" s="605">
        <v>5</v>
      </c>
      <c r="L62" s="605">
        <v>8</v>
      </c>
      <c r="M62" s="605">
        <v>17</v>
      </c>
      <c r="N62" s="605">
        <v>14</v>
      </c>
      <c r="O62" s="605"/>
      <c r="P62" s="605">
        <f t="shared" si="6"/>
        <v>48</v>
      </c>
      <c r="Q62" s="606">
        <f t="shared" si="2"/>
        <v>86</v>
      </c>
    </row>
    <row r="63" spans="1:17" s="223" customFormat="1" x14ac:dyDescent="0.15">
      <c r="A63" s="223">
        <v>57</v>
      </c>
      <c r="B63" s="684" t="s">
        <v>549</v>
      </c>
      <c r="C63" s="605">
        <v>2</v>
      </c>
      <c r="D63" s="605">
        <v>11</v>
      </c>
      <c r="E63" s="605">
        <v>13</v>
      </c>
      <c r="F63" s="605">
        <v>36</v>
      </c>
      <c r="G63" s="605">
        <v>28</v>
      </c>
      <c r="H63" s="605">
        <v>1</v>
      </c>
      <c r="I63" s="605">
        <f t="shared" si="5"/>
        <v>91</v>
      </c>
      <c r="J63" s="605">
        <v>4</v>
      </c>
      <c r="K63" s="605">
        <v>15</v>
      </c>
      <c r="L63" s="605">
        <v>18</v>
      </c>
      <c r="M63" s="605">
        <v>23</v>
      </c>
      <c r="N63" s="605">
        <v>9</v>
      </c>
      <c r="O63" s="605">
        <v>3</v>
      </c>
      <c r="P63" s="605">
        <f t="shared" si="6"/>
        <v>72</v>
      </c>
      <c r="Q63" s="606">
        <f t="shared" si="2"/>
        <v>163</v>
      </c>
    </row>
    <row r="64" spans="1:17" s="223" customFormat="1" x14ac:dyDescent="0.15">
      <c r="A64" s="223">
        <v>58</v>
      </c>
      <c r="B64" s="684" t="s">
        <v>550</v>
      </c>
      <c r="C64" s="605"/>
      <c r="D64" s="605">
        <v>5</v>
      </c>
      <c r="E64" s="605">
        <v>11</v>
      </c>
      <c r="F64" s="605">
        <v>28</v>
      </c>
      <c r="G64" s="605">
        <v>12</v>
      </c>
      <c r="H64" s="605">
        <v>2</v>
      </c>
      <c r="I64" s="605">
        <f t="shared" si="5"/>
        <v>58</v>
      </c>
      <c r="J64" s="605">
        <v>3</v>
      </c>
      <c r="K64" s="605">
        <v>3</v>
      </c>
      <c r="L64" s="605">
        <v>14</v>
      </c>
      <c r="M64" s="605">
        <v>12</v>
      </c>
      <c r="N64" s="605">
        <v>8</v>
      </c>
      <c r="O64" s="605"/>
      <c r="P64" s="605">
        <f t="shared" si="6"/>
        <v>40</v>
      </c>
      <c r="Q64" s="606">
        <f t="shared" si="2"/>
        <v>98</v>
      </c>
    </row>
    <row r="65" spans="1:17" s="223" customFormat="1" x14ac:dyDescent="0.15">
      <c r="A65" s="223">
        <v>59</v>
      </c>
      <c r="B65" s="684" t="s">
        <v>551</v>
      </c>
      <c r="C65" s="605">
        <v>1</v>
      </c>
      <c r="D65" s="605">
        <v>5</v>
      </c>
      <c r="E65" s="605">
        <v>20</v>
      </c>
      <c r="F65" s="605">
        <v>34</v>
      </c>
      <c r="G65" s="605">
        <v>19</v>
      </c>
      <c r="H65" s="605">
        <v>6</v>
      </c>
      <c r="I65" s="605">
        <f t="shared" si="5"/>
        <v>85</v>
      </c>
      <c r="J65" s="605">
        <v>4</v>
      </c>
      <c r="K65" s="605">
        <v>8</v>
      </c>
      <c r="L65" s="605">
        <v>26</v>
      </c>
      <c r="M65" s="605">
        <v>17</v>
      </c>
      <c r="N65" s="605">
        <v>10</v>
      </c>
      <c r="O65" s="605">
        <v>4</v>
      </c>
      <c r="P65" s="605">
        <f t="shared" si="6"/>
        <v>69</v>
      </c>
      <c r="Q65" s="606">
        <f t="shared" si="2"/>
        <v>154</v>
      </c>
    </row>
    <row r="66" spans="1:17" s="223" customFormat="1" x14ac:dyDescent="0.15">
      <c r="A66" s="223">
        <v>60</v>
      </c>
      <c r="B66" s="684" t="s">
        <v>552</v>
      </c>
      <c r="C66" s="605"/>
      <c r="D66" s="605">
        <v>1</v>
      </c>
      <c r="E66" s="605">
        <v>11</v>
      </c>
      <c r="F66" s="605">
        <v>19</v>
      </c>
      <c r="G66" s="605">
        <v>7</v>
      </c>
      <c r="H66" s="605">
        <v>1</v>
      </c>
      <c r="I66" s="605">
        <f t="shared" si="5"/>
        <v>39</v>
      </c>
      <c r="J66" s="605">
        <v>4</v>
      </c>
      <c r="K66" s="605">
        <v>8</v>
      </c>
      <c r="L66" s="605">
        <v>11</v>
      </c>
      <c r="M66" s="605">
        <v>10</v>
      </c>
      <c r="N66" s="605">
        <v>6</v>
      </c>
      <c r="O66" s="605"/>
      <c r="P66" s="605">
        <f t="shared" si="6"/>
        <v>39</v>
      </c>
      <c r="Q66" s="606">
        <f t="shared" si="2"/>
        <v>78</v>
      </c>
    </row>
    <row r="67" spans="1:17" s="223" customFormat="1" x14ac:dyDescent="0.15">
      <c r="A67" s="223">
        <v>61</v>
      </c>
      <c r="B67" s="684" t="s">
        <v>553</v>
      </c>
      <c r="C67" s="605">
        <v>1</v>
      </c>
      <c r="D67" s="605">
        <v>4</v>
      </c>
      <c r="E67" s="605">
        <v>14</v>
      </c>
      <c r="F67" s="605">
        <v>29</v>
      </c>
      <c r="G67" s="605">
        <v>15</v>
      </c>
      <c r="H67" s="605">
        <v>4</v>
      </c>
      <c r="I67" s="605">
        <f t="shared" si="5"/>
        <v>67</v>
      </c>
      <c r="J67" s="605">
        <v>5</v>
      </c>
      <c r="K67" s="605">
        <v>9</v>
      </c>
      <c r="L67" s="605">
        <v>12</v>
      </c>
      <c r="M67" s="605">
        <v>20</v>
      </c>
      <c r="N67" s="605">
        <v>14</v>
      </c>
      <c r="O67" s="605">
        <v>4</v>
      </c>
      <c r="P67" s="605">
        <f t="shared" si="6"/>
        <v>64</v>
      </c>
      <c r="Q67" s="606">
        <f t="shared" si="2"/>
        <v>131</v>
      </c>
    </row>
    <row r="68" spans="1:17" s="223" customFormat="1" x14ac:dyDescent="0.15">
      <c r="A68" s="223">
        <v>62</v>
      </c>
      <c r="B68" s="684" t="s">
        <v>554</v>
      </c>
      <c r="C68" s="605">
        <v>1</v>
      </c>
      <c r="D68" s="605">
        <v>7</v>
      </c>
      <c r="E68" s="605">
        <v>14</v>
      </c>
      <c r="F68" s="605">
        <v>33</v>
      </c>
      <c r="G68" s="605">
        <v>28</v>
      </c>
      <c r="H68" s="605">
        <v>5</v>
      </c>
      <c r="I68" s="605">
        <f t="shared" si="5"/>
        <v>88</v>
      </c>
      <c r="J68" s="605">
        <v>5</v>
      </c>
      <c r="K68" s="605">
        <v>10</v>
      </c>
      <c r="L68" s="605">
        <v>14</v>
      </c>
      <c r="M68" s="605">
        <v>21</v>
      </c>
      <c r="N68" s="605">
        <v>17</v>
      </c>
      <c r="O68" s="605">
        <v>2</v>
      </c>
      <c r="P68" s="605">
        <f t="shared" si="6"/>
        <v>69</v>
      </c>
      <c r="Q68" s="606">
        <f t="shared" si="2"/>
        <v>157</v>
      </c>
    </row>
    <row r="69" spans="1:17" s="223" customFormat="1" x14ac:dyDescent="0.15">
      <c r="A69" s="223">
        <v>63</v>
      </c>
      <c r="B69" s="684" t="s">
        <v>555</v>
      </c>
      <c r="C69" s="605"/>
      <c r="D69" s="605">
        <v>5</v>
      </c>
      <c r="E69" s="605">
        <v>32</v>
      </c>
      <c r="F69" s="605">
        <v>42</v>
      </c>
      <c r="G69" s="605">
        <v>36</v>
      </c>
      <c r="H69" s="605">
        <v>4</v>
      </c>
      <c r="I69" s="605">
        <f t="shared" si="5"/>
        <v>119</v>
      </c>
      <c r="J69" s="605">
        <v>2</v>
      </c>
      <c r="K69" s="605">
        <v>18</v>
      </c>
      <c r="L69" s="605">
        <v>28</v>
      </c>
      <c r="M69" s="605">
        <v>22</v>
      </c>
      <c r="N69" s="605">
        <v>20</v>
      </c>
      <c r="O69" s="605">
        <v>7</v>
      </c>
      <c r="P69" s="605">
        <f t="shared" si="6"/>
        <v>97</v>
      </c>
      <c r="Q69" s="606">
        <f t="shared" si="2"/>
        <v>216</v>
      </c>
    </row>
    <row r="70" spans="1:17" s="223" customFormat="1" x14ac:dyDescent="0.15">
      <c r="A70" s="223">
        <v>64</v>
      </c>
      <c r="B70" s="684" t="s">
        <v>556</v>
      </c>
      <c r="C70" s="605">
        <v>1</v>
      </c>
      <c r="D70" s="605"/>
      <c r="E70" s="605">
        <v>33</v>
      </c>
      <c r="F70" s="605">
        <v>39</v>
      </c>
      <c r="G70" s="605">
        <v>28</v>
      </c>
      <c r="H70" s="605">
        <v>9</v>
      </c>
      <c r="I70" s="605">
        <f t="shared" si="5"/>
        <v>110</v>
      </c>
      <c r="J70" s="605">
        <v>4</v>
      </c>
      <c r="K70" s="605">
        <v>15</v>
      </c>
      <c r="L70" s="605">
        <v>24</v>
      </c>
      <c r="M70" s="605">
        <v>29</v>
      </c>
      <c r="N70" s="605">
        <v>13</v>
      </c>
      <c r="O70" s="605">
        <v>1</v>
      </c>
      <c r="P70" s="605">
        <f t="shared" si="6"/>
        <v>86</v>
      </c>
      <c r="Q70" s="606">
        <f t="shared" si="2"/>
        <v>196</v>
      </c>
    </row>
    <row r="71" spans="1:17" s="223" customFormat="1" x14ac:dyDescent="0.15">
      <c r="A71" s="223">
        <v>65</v>
      </c>
      <c r="B71" s="684" t="s">
        <v>557</v>
      </c>
      <c r="C71" s="605"/>
      <c r="D71" s="605">
        <v>7</v>
      </c>
      <c r="E71" s="605">
        <v>29</v>
      </c>
      <c r="F71" s="605">
        <v>66</v>
      </c>
      <c r="G71" s="605">
        <v>49</v>
      </c>
      <c r="H71" s="605">
        <v>5</v>
      </c>
      <c r="I71" s="605">
        <f t="shared" si="5"/>
        <v>156</v>
      </c>
      <c r="J71" s="605">
        <v>4</v>
      </c>
      <c r="K71" s="605">
        <v>25</v>
      </c>
      <c r="L71" s="605">
        <v>48</v>
      </c>
      <c r="M71" s="605">
        <v>47</v>
      </c>
      <c r="N71" s="605">
        <v>23</v>
      </c>
      <c r="O71" s="605">
        <v>7</v>
      </c>
      <c r="P71" s="605">
        <f t="shared" si="6"/>
        <v>154</v>
      </c>
      <c r="Q71" s="606">
        <f t="shared" si="2"/>
        <v>310</v>
      </c>
    </row>
    <row r="72" spans="1:17" s="223" customFormat="1" x14ac:dyDescent="0.15">
      <c r="A72" s="223">
        <v>66</v>
      </c>
      <c r="B72" s="684" t="s">
        <v>558</v>
      </c>
      <c r="C72" s="605"/>
      <c r="D72" s="605">
        <v>7</v>
      </c>
      <c r="E72" s="605">
        <v>34</v>
      </c>
      <c r="F72" s="605">
        <v>64</v>
      </c>
      <c r="G72" s="605">
        <v>48</v>
      </c>
      <c r="H72" s="605">
        <v>9</v>
      </c>
      <c r="I72" s="605">
        <f t="shared" si="5"/>
        <v>162</v>
      </c>
      <c r="J72" s="605">
        <v>3</v>
      </c>
      <c r="K72" s="605">
        <v>30</v>
      </c>
      <c r="L72" s="605">
        <v>45</v>
      </c>
      <c r="M72" s="605">
        <v>39</v>
      </c>
      <c r="N72" s="605">
        <v>36</v>
      </c>
      <c r="O72" s="605">
        <v>5</v>
      </c>
      <c r="P72" s="605">
        <f t="shared" si="6"/>
        <v>158</v>
      </c>
      <c r="Q72" s="606">
        <f t="shared" ref="Q72:Q90" si="7">SUM(I72,P72)</f>
        <v>320</v>
      </c>
    </row>
    <row r="73" spans="1:17" s="223" customFormat="1" ht="19.5" thickBot="1" x14ac:dyDescent="0.2">
      <c r="B73" s="743" t="s">
        <v>586</v>
      </c>
      <c r="C73" s="691"/>
      <c r="D73" s="691"/>
      <c r="E73" s="691"/>
      <c r="F73" s="691"/>
      <c r="G73" s="691"/>
      <c r="H73" s="691"/>
      <c r="I73" s="605">
        <f t="shared" si="5"/>
        <v>0</v>
      </c>
      <c r="J73" s="691"/>
      <c r="K73" s="691"/>
      <c r="L73" s="691"/>
      <c r="M73" s="691"/>
      <c r="N73" s="691"/>
      <c r="O73" s="691"/>
      <c r="P73" s="605">
        <f t="shared" si="6"/>
        <v>0</v>
      </c>
      <c r="Q73" s="606">
        <f t="shared" si="7"/>
        <v>0</v>
      </c>
    </row>
    <row r="74" spans="1:17" s="223" customFormat="1" ht="19.5" thickBot="1" x14ac:dyDescent="0.2">
      <c r="A74" s="223">
        <v>30</v>
      </c>
      <c r="B74" s="742" t="s">
        <v>394</v>
      </c>
      <c r="C74" s="609">
        <f>SUM(C75:C82)</f>
        <v>3</v>
      </c>
      <c r="D74" s="609">
        <f t="shared" ref="D74:P74" si="8">SUM(D75:D82)</f>
        <v>41</v>
      </c>
      <c r="E74" s="609">
        <f t="shared" si="8"/>
        <v>156</v>
      </c>
      <c r="F74" s="609">
        <f t="shared" si="8"/>
        <v>382</v>
      </c>
      <c r="G74" s="609">
        <f t="shared" si="8"/>
        <v>248</v>
      </c>
      <c r="H74" s="609">
        <f t="shared" si="8"/>
        <v>31</v>
      </c>
      <c r="I74" s="609">
        <f t="shared" si="8"/>
        <v>861</v>
      </c>
      <c r="J74" s="609">
        <f t="shared" si="8"/>
        <v>14</v>
      </c>
      <c r="K74" s="609">
        <f t="shared" si="8"/>
        <v>93</v>
      </c>
      <c r="L74" s="609">
        <f t="shared" si="8"/>
        <v>154</v>
      </c>
      <c r="M74" s="609">
        <f t="shared" si="8"/>
        <v>183</v>
      </c>
      <c r="N74" s="609">
        <f>SUM(N75:N82)</f>
        <v>129</v>
      </c>
      <c r="O74" s="609">
        <f t="shared" si="8"/>
        <v>23</v>
      </c>
      <c r="P74" s="609">
        <f t="shared" si="8"/>
        <v>596</v>
      </c>
      <c r="Q74" s="609">
        <f>SUM(I74,P74)</f>
        <v>1457</v>
      </c>
    </row>
    <row r="75" spans="1:17" s="223" customFormat="1" x14ac:dyDescent="0.15">
      <c r="A75" s="223">
        <v>70</v>
      </c>
      <c r="B75" s="686" t="s">
        <v>577</v>
      </c>
      <c r="C75" s="610"/>
      <c r="D75" s="610">
        <v>9</v>
      </c>
      <c r="E75" s="610">
        <v>61</v>
      </c>
      <c r="F75" s="610">
        <v>128</v>
      </c>
      <c r="G75" s="610">
        <v>47</v>
      </c>
      <c r="H75" s="610">
        <v>8</v>
      </c>
      <c r="I75" s="610">
        <f t="shared" si="5"/>
        <v>253</v>
      </c>
      <c r="J75" s="610">
        <v>4</v>
      </c>
      <c r="K75" s="610">
        <v>27</v>
      </c>
      <c r="L75" s="610">
        <v>31</v>
      </c>
      <c r="M75" s="610">
        <v>38</v>
      </c>
      <c r="N75" s="610">
        <v>27</v>
      </c>
      <c r="O75" s="610">
        <v>3</v>
      </c>
      <c r="P75" s="610">
        <f t="shared" ref="P75:P82" si="9">SUM(J75:O75)</f>
        <v>130</v>
      </c>
      <c r="Q75" s="611">
        <f>SUM(I75,P75)</f>
        <v>383</v>
      </c>
    </row>
    <row r="76" spans="1:17" s="223" customFormat="1" x14ac:dyDescent="0.15">
      <c r="A76" s="223">
        <v>71</v>
      </c>
      <c r="B76" s="682" t="s">
        <v>578</v>
      </c>
      <c r="C76" s="605"/>
      <c r="D76" s="605">
        <v>5</v>
      </c>
      <c r="E76" s="605">
        <v>13</v>
      </c>
      <c r="F76" s="605">
        <v>33</v>
      </c>
      <c r="G76" s="605">
        <v>49</v>
      </c>
      <c r="H76" s="605">
        <v>7</v>
      </c>
      <c r="I76" s="605">
        <f t="shared" si="5"/>
        <v>107</v>
      </c>
      <c r="J76" s="605"/>
      <c r="K76" s="605">
        <v>8</v>
      </c>
      <c r="L76" s="605">
        <v>25</v>
      </c>
      <c r="M76" s="605">
        <v>21</v>
      </c>
      <c r="N76" s="605">
        <v>19</v>
      </c>
      <c r="O76" s="605">
        <v>3</v>
      </c>
      <c r="P76" s="605">
        <f t="shared" si="9"/>
        <v>76</v>
      </c>
      <c r="Q76" s="606">
        <f t="shared" si="7"/>
        <v>183</v>
      </c>
    </row>
    <row r="77" spans="1:17" s="223" customFormat="1" x14ac:dyDescent="0.15">
      <c r="A77" s="223">
        <v>72</v>
      </c>
      <c r="B77" s="682" t="s">
        <v>579</v>
      </c>
      <c r="C77" s="605">
        <v>1</v>
      </c>
      <c r="D77" s="605">
        <v>4</v>
      </c>
      <c r="E77" s="605">
        <v>11</v>
      </c>
      <c r="F77" s="605">
        <v>47</v>
      </c>
      <c r="G77" s="605">
        <v>31</v>
      </c>
      <c r="H77" s="605">
        <v>3</v>
      </c>
      <c r="I77" s="605">
        <f t="shared" si="5"/>
        <v>97</v>
      </c>
      <c r="J77" s="605"/>
      <c r="K77" s="605">
        <v>18</v>
      </c>
      <c r="L77" s="605">
        <v>20</v>
      </c>
      <c r="M77" s="605">
        <v>31</v>
      </c>
      <c r="N77" s="605">
        <v>18</v>
      </c>
      <c r="O77" s="605">
        <v>8</v>
      </c>
      <c r="P77" s="605">
        <f t="shared" si="9"/>
        <v>95</v>
      </c>
      <c r="Q77" s="606">
        <f t="shared" si="7"/>
        <v>192</v>
      </c>
    </row>
    <row r="78" spans="1:17" s="223" customFormat="1" x14ac:dyDescent="0.15">
      <c r="A78" s="223">
        <v>73</v>
      </c>
      <c r="B78" s="682" t="s">
        <v>580</v>
      </c>
      <c r="C78" s="605">
        <v>1</v>
      </c>
      <c r="D78" s="605">
        <v>14</v>
      </c>
      <c r="E78" s="605">
        <v>26</v>
      </c>
      <c r="F78" s="605">
        <v>33</v>
      </c>
      <c r="G78" s="605">
        <v>27</v>
      </c>
      <c r="H78" s="605">
        <v>4</v>
      </c>
      <c r="I78" s="605">
        <f t="shared" si="5"/>
        <v>105</v>
      </c>
      <c r="J78" s="605">
        <v>2</v>
      </c>
      <c r="K78" s="605">
        <v>10</v>
      </c>
      <c r="L78" s="605">
        <v>25</v>
      </c>
      <c r="M78" s="605">
        <v>32</v>
      </c>
      <c r="N78" s="605">
        <v>22</v>
      </c>
      <c r="O78" s="605">
        <v>1</v>
      </c>
      <c r="P78" s="605">
        <f t="shared" si="9"/>
        <v>92</v>
      </c>
      <c r="Q78" s="606">
        <f t="shared" si="7"/>
        <v>197</v>
      </c>
    </row>
    <row r="79" spans="1:17" s="223" customFormat="1" x14ac:dyDescent="0.15">
      <c r="A79" s="223">
        <v>74</v>
      </c>
      <c r="B79" s="682" t="s">
        <v>581</v>
      </c>
      <c r="C79" s="605"/>
      <c r="D79" s="605">
        <v>4</v>
      </c>
      <c r="E79" s="605">
        <v>22</v>
      </c>
      <c r="F79" s="605">
        <v>66</v>
      </c>
      <c r="G79" s="605">
        <v>50</v>
      </c>
      <c r="H79" s="605">
        <v>5</v>
      </c>
      <c r="I79" s="605">
        <f t="shared" si="5"/>
        <v>147</v>
      </c>
      <c r="J79" s="605">
        <v>3</v>
      </c>
      <c r="K79" s="605">
        <v>15</v>
      </c>
      <c r="L79" s="605">
        <v>15</v>
      </c>
      <c r="M79" s="605">
        <v>28</v>
      </c>
      <c r="N79" s="605">
        <v>20</v>
      </c>
      <c r="O79" s="605">
        <v>4</v>
      </c>
      <c r="P79" s="605">
        <f t="shared" si="9"/>
        <v>85</v>
      </c>
      <c r="Q79" s="606">
        <f t="shared" si="7"/>
        <v>232</v>
      </c>
    </row>
    <row r="80" spans="1:17" s="223" customFormat="1" x14ac:dyDescent="0.15">
      <c r="A80" s="223">
        <v>75</v>
      </c>
      <c r="B80" s="682" t="s">
        <v>582</v>
      </c>
      <c r="C80" s="605">
        <v>1</v>
      </c>
      <c r="D80" s="605">
        <v>2</v>
      </c>
      <c r="E80" s="605">
        <v>8</v>
      </c>
      <c r="F80" s="605">
        <v>32</v>
      </c>
      <c r="G80" s="605">
        <v>14</v>
      </c>
      <c r="H80" s="605">
        <v>4</v>
      </c>
      <c r="I80" s="605">
        <f t="shared" si="5"/>
        <v>61</v>
      </c>
      <c r="J80" s="605">
        <v>3</v>
      </c>
      <c r="K80" s="605">
        <v>9</v>
      </c>
      <c r="L80" s="605">
        <v>17</v>
      </c>
      <c r="M80" s="605">
        <v>11</v>
      </c>
      <c r="N80" s="605">
        <v>12</v>
      </c>
      <c r="O80" s="605">
        <v>1</v>
      </c>
      <c r="P80" s="605">
        <f t="shared" si="9"/>
        <v>53</v>
      </c>
      <c r="Q80" s="606">
        <f t="shared" si="7"/>
        <v>114</v>
      </c>
    </row>
    <row r="81" spans="1:17" s="223" customFormat="1" x14ac:dyDescent="0.15">
      <c r="A81" s="223">
        <v>76</v>
      </c>
      <c r="B81" s="682" t="s">
        <v>583</v>
      </c>
      <c r="C81" s="605"/>
      <c r="D81" s="605">
        <v>3</v>
      </c>
      <c r="E81" s="605">
        <v>15</v>
      </c>
      <c r="F81" s="605">
        <v>43</v>
      </c>
      <c r="G81" s="605">
        <v>30</v>
      </c>
      <c r="H81" s="605"/>
      <c r="I81" s="605">
        <f t="shared" si="5"/>
        <v>91</v>
      </c>
      <c r="J81" s="605">
        <v>2</v>
      </c>
      <c r="K81" s="605">
        <v>6</v>
      </c>
      <c r="L81" s="605">
        <v>21</v>
      </c>
      <c r="M81" s="605">
        <v>22</v>
      </c>
      <c r="N81" s="605">
        <v>11</v>
      </c>
      <c r="O81" s="605">
        <v>3</v>
      </c>
      <c r="P81" s="605">
        <f t="shared" si="9"/>
        <v>65</v>
      </c>
      <c r="Q81" s="606">
        <f t="shared" si="7"/>
        <v>156</v>
      </c>
    </row>
    <row r="82" spans="1:17" s="223" customFormat="1" ht="19.5" thickBot="1" x14ac:dyDescent="0.2">
      <c r="B82" s="744" t="s">
        <v>587</v>
      </c>
      <c r="C82" s="691"/>
      <c r="D82" s="691"/>
      <c r="E82" s="691"/>
      <c r="F82" s="691"/>
      <c r="G82" s="691"/>
      <c r="H82" s="691"/>
      <c r="I82" s="691">
        <f t="shared" si="5"/>
        <v>0</v>
      </c>
      <c r="J82" s="691"/>
      <c r="K82" s="691"/>
      <c r="L82" s="691"/>
      <c r="M82" s="691"/>
      <c r="N82" s="691"/>
      <c r="O82" s="691"/>
      <c r="P82" s="691">
        <f t="shared" si="9"/>
        <v>0</v>
      </c>
      <c r="Q82" s="606">
        <f t="shared" si="7"/>
        <v>0</v>
      </c>
    </row>
    <row r="83" spans="1:17" s="223" customFormat="1" ht="19.5" thickBot="1" x14ac:dyDescent="0.2">
      <c r="B83" s="745" t="s">
        <v>559</v>
      </c>
      <c r="C83" s="609">
        <f>SUM(C84:C89)</f>
        <v>3</v>
      </c>
      <c r="D83" s="609">
        <f t="shared" ref="D83:O83" si="10">SUM(D84:D89)</f>
        <v>46</v>
      </c>
      <c r="E83" s="609">
        <f t="shared" si="10"/>
        <v>117</v>
      </c>
      <c r="F83" s="609">
        <f t="shared" si="10"/>
        <v>277</v>
      </c>
      <c r="G83" s="609">
        <f t="shared" si="10"/>
        <v>226</v>
      </c>
      <c r="H83" s="609">
        <f t="shared" si="10"/>
        <v>44</v>
      </c>
      <c r="I83" s="609">
        <f t="shared" si="10"/>
        <v>713</v>
      </c>
      <c r="J83" s="609">
        <f t="shared" si="10"/>
        <v>36</v>
      </c>
      <c r="K83" s="609">
        <f t="shared" si="10"/>
        <v>58</v>
      </c>
      <c r="L83" s="609">
        <f t="shared" si="10"/>
        <v>103</v>
      </c>
      <c r="M83" s="609">
        <f t="shared" si="10"/>
        <v>156</v>
      </c>
      <c r="N83" s="609">
        <f t="shared" si="10"/>
        <v>112</v>
      </c>
      <c r="O83" s="609">
        <f t="shared" si="10"/>
        <v>12</v>
      </c>
      <c r="P83" s="609">
        <f>SUM(P84:P89)</f>
        <v>477</v>
      </c>
      <c r="Q83" s="609">
        <f>SUM(I83,P83)</f>
        <v>1190</v>
      </c>
    </row>
    <row r="84" spans="1:17" s="223" customFormat="1" x14ac:dyDescent="0.15">
      <c r="A84" s="223">
        <v>80</v>
      </c>
      <c r="B84" s="683" t="s">
        <v>560</v>
      </c>
      <c r="C84" s="610"/>
      <c r="D84" s="610"/>
      <c r="E84" s="610">
        <v>3</v>
      </c>
      <c r="F84" s="610">
        <v>1</v>
      </c>
      <c r="G84" s="610">
        <v>3</v>
      </c>
      <c r="H84" s="610">
        <v>1</v>
      </c>
      <c r="I84" s="610">
        <f t="shared" si="5"/>
        <v>8</v>
      </c>
      <c r="J84" s="610">
        <v>2</v>
      </c>
      <c r="K84" s="610">
        <v>6</v>
      </c>
      <c r="L84" s="610">
        <v>1</v>
      </c>
      <c r="M84" s="610">
        <v>4</v>
      </c>
      <c r="N84" s="610">
        <v>2</v>
      </c>
      <c r="O84" s="610"/>
      <c r="P84" s="610">
        <f>SUM(J84:O84)</f>
        <v>15</v>
      </c>
      <c r="Q84" s="611">
        <f t="shared" si="7"/>
        <v>23</v>
      </c>
    </row>
    <row r="85" spans="1:17" s="223" customFormat="1" x14ac:dyDescent="0.15">
      <c r="A85" s="223">
        <v>81</v>
      </c>
      <c r="B85" s="684" t="s">
        <v>561</v>
      </c>
      <c r="C85" s="605"/>
      <c r="D85" s="605">
        <v>11</v>
      </c>
      <c r="E85" s="605">
        <v>12</v>
      </c>
      <c r="F85" s="605">
        <v>47</v>
      </c>
      <c r="G85" s="605">
        <v>19</v>
      </c>
      <c r="H85" s="605">
        <v>4</v>
      </c>
      <c r="I85" s="605">
        <f t="shared" si="5"/>
        <v>93</v>
      </c>
      <c r="J85" s="605">
        <v>7</v>
      </c>
      <c r="K85" s="605">
        <v>6</v>
      </c>
      <c r="L85" s="605">
        <v>16</v>
      </c>
      <c r="M85" s="605">
        <v>18</v>
      </c>
      <c r="N85" s="605">
        <v>20</v>
      </c>
      <c r="O85" s="605">
        <v>2</v>
      </c>
      <c r="P85" s="605">
        <f t="shared" ref="P85:P90" si="11">SUM(J85:O85)</f>
        <v>69</v>
      </c>
      <c r="Q85" s="606">
        <f t="shared" si="7"/>
        <v>162</v>
      </c>
    </row>
    <row r="86" spans="1:17" s="223" customFormat="1" x14ac:dyDescent="0.15">
      <c r="A86" s="223">
        <v>82</v>
      </c>
      <c r="B86" s="684" t="s">
        <v>562</v>
      </c>
      <c r="C86" s="605">
        <v>3</v>
      </c>
      <c r="D86" s="605">
        <v>9</v>
      </c>
      <c r="E86" s="605">
        <v>21</v>
      </c>
      <c r="F86" s="605">
        <v>27</v>
      </c>
      <c r="G86" s="605">
        <v>38</v>
      </c>
      <c r="H86" s="605">
        <v>9</v>
      </c>
      <c r="I86" s="605">
        <f t="shared" si="5"/>
        <v>107</v>
      </c>
      <c r="J86" s="605">
        <v>5</v>
      </c>
      <c r="K86" s="605">
        <v>13</v>
      </c>
      <c r="L86" s="605">
        <v>10</v>
      </c>
      <c r="M86" s="605">
        <v>27</v>
      </c>
      <c r="N86" s="605">
        <v>21</v>
      </c>
      <c r="O86" s="605">
        <v>1</v>
      </c>
      <c r="P86" s="605">
        <f t="shared" si="11"/>
        <v>77</v>
      </c>
      <c r="Q86" s="606">
        <f t="shared" si="7"/>
        <v>184</v>
      </c>
    </row>
    <row r="87" spans="1:17" s="223" customFormat="1" x14ac:dyDescent="0.15">
      <c r="A87" s="223">
        <v>83</v>
      </c>
      <c r="B87" s="684" t="s">
        <v>563</v>
      </c>
      <c r="C87" s="605"/>
      <c r="D87" s="605">
        <v>17</v>
      </c>
      <c r="E87" s="605">
        <v>45</v>
      </c>
      <c r="F87" s="605">
        <v>123</v>
      </c>
      <c r="G87" s="605">
        <v>98</v>
      </c>
      <c r="H87" s="605">
        <v>18</v>
      </c>
      <c r="I87" s="605">
        <f t="shared" si="5"/>
        <v>301</v>
      </c>
      <c r="J87" s="605">
        <v>15</v>
      </c>
      <c r="K87" s="605">
        <v>20</v>
      </c>
      <c r="L87" s="605">
        <v>42</v>
      </c>
      <c r="M87" s="605">
        <v>71</v>
      </c>
      <c r="N87" s="605">
        <v>44</v>
      </c>
      <c r="O87" s="605">
        <v>5</v>
      </c>
      <c r="P87" s="605">
        <f t="shared" si="11"/>
        <v>197</v>
      </c>
      <c r="Q87" s="606">
        <f t="shared" si="7"/>
        <v>498</v>
      </c>
    </row>
    <row r="88" spans="1:17" s="223" customFormat="1" x14ac:dyDescent="0.15">
      <c r="A88" s="223">
        <v>84</v>
      </c>
      <c r="B88" s="684" t="s">
        <v>564</v>
      </c>
      <c r="C88" s="605"/>
      <c r="D88" s="605">
        <v>6</v>
      </c>
      <c r="E88" s="605">
        <v>26</v>
      </c>
      <c r="F88" s="605">
        <v>51</v>
      </c>
      <c r="G88" s="605">
        <v>42</v>
      </c>
      <c r="H88" s="605">
        <v>7</v>
      </c>
      <c r="I88" s="605">
        <f t="shared" si="5"/>
        <v>132</v>
      </c>
      <c r="J88" s="605">
        <v>1</v>
      </c>
      <c r="K88" s="605">
        <v>7</v>
      </c>
      <c r="L88" s="605">
        <v>20</v>
      </c>
      <c r="M88" s="605">
        <v>17</v>
      </c>
      <c r="N88" s="605">
        <v>11</v>
      </c>
      <c r="O88" s="605">
        <v>1</v>
      </c>
      <c r="P88" s="605">
        <f t="shared" si="11"/>
        <v>57</v>
      </c>
      <c r="Q88" s="606">
        <f t="shared" si="7"/>
        <v>189</v>
      </c>
    </row>
    <row r="89" spans="1:17" s="223" customFormat="1" ht="19.5" thickBot="1" x14ac:dyDescent="0.2">
      <c r="A89" s="223">
        <v>85</v>
      </c>
      <c r="B89" s="685" t="s">
        <v>18</v>
      </c>
      <c r="C89" s="612"/>
      <c r="D89" s="612">
        <v>3</v>
      </c>
      <c r="E89" s="612">
        <v>10</v>
      </c>
      <c r="F89" s="612">
        <v>28</v>
      </c>
      <c r="G89" s="612">
        <v>26</v>
      </c>
      <c r="H89" s="612">
        <v>5</v>
      </c>
      <c r="I89" s="612">
        <f t="shared" si="5"/>
        <v>72</v>
      </c>
      <c r="J89" s="612">
        <v>6</v>
      </c>
      <c r="K89" s="612">
        <v>6</v>
      </c>
      <c r="L89" s="612">
        <v>14</v>
      </c>
      <c r="M89" s="612">
        <v>19</v>
      </c>
      <c r="N89" s="612">
        <v>14</v>
      </c>
      <c r="O89" s="612">
        <v>3</v>
      </c>
      <c r="P89" s="612">
        <f t="shared" si="11"/>
        <v>62</v>
      </c>
      <c r="Q89" s="613">
        <f t="shared" si="7"/>
        <v>134</v>
      </c>
    </row>
    <row r="90" spans="1:17" s="223" customFormat="1" ht="19.5" thickBot="1" x14ac:dyDescent="0.2">
      <c r="A90" s="223">
        <v>99</v>
      </c>
      <c r="B90" s="742" t="s">
        <v>375</v>
      </c>
      <c r="C90" s="614"/>
      <c r="D90" s="614">
        <v>4</v>
      </c>
      <c r="E90" s="614">
        <v>7</v>
      </c>
      <c r="F90" s="614">
        <v>32</v>
      </c>
      <c r="G90" s="614">
        <v>23</v>
      </c>
      <c r="H90" s="614">
        <v>8</v>
      </c>
      <c r="I90" s="614">
        <f t="shared" si="5"/>
        <v>74</v>
      </c>
      <c r="J90" s="614"/>
      <c r="K90" s="614">
        <v>4</v>
      </c>
      <c r="L90" s="614">
        <v>3</v>
      </c>
      <c r="M90" s="614">
        <v>14</v>
      </c>
      <c r="N90" s="614">
        <v>6</v>
      </c>
      <c r="O90" s="614">
        <v>2</v>
      </c>
      <c r="P90" s="614">
        <f t="shared" si="11"/>
        <v>29</v>
      </c>
      <c r="Q90" s="609">
        <f t="shared" si="7"/>
        <v>103</v>
      </c>
    </row>
    <row r="91" spans="1:17" s="223" customFormat="1" x14ac:dyDescent="0.15">
      <c r="B91" s="615" t="s">
        <v>11</v>
      </c>
      <c r="C91" s="616">
        <f>SUM(C5:C45,C49:C72,C75:C81,C84:C89,C90)</f>
        <v>63</v>
      </c>
      <c r="D91" s="616">
        <f t="shared" ref="D91:O91" si="12">SUM(D5:D45,D49:D72,D75:D81,D84:D89,D90)</f>
        <v>458</v>
      </c>
      <c r="E91" s="616">
        <f t="shared" si="12"/>
        <v>1454</v>
      </c>
      <c r="F91" s="616">
        <f t="shared" si="12"/>
        <v>3656</v>
      </c>
      <c r="G91" s="616">
        <f t="shared" si="12"/>
        <v>2610</v>
      </c>
      <c r="H91" s="616">
        <f>SUM(H5:H45,H49:H72,H75:H81,H84:H89,H90)</f>
        <v>523</v>
      </c>
      <c r="I91" s="616">
        <f>SUM(I5:I45,I49:I72,I75:I81,I84:I89,I90)</f>
        <v>8764</v>
      </c>
      <c r="J91" s="616">
        <f t="shared" si="12"/>
        <v>316</v>
      </c>
      <c r="K91" s="616">
        <f t="shared" si="12"/>
        <v>820</v>
      </c>
      <c r="L91" s="616">
        <f t="shared" si="12"/>
        <v>1505</v>
      </c>
      <c r="M91" s="616">
        <f t="shared" si="12"/>
        <v>1992</v>
      </c>
      <c r="N91" s="616">
        <f t="shared" si="12"/>
        <v>1339</v>
      </c>
      <c r="O91" s="616">
        <f t="shared" si="12"/>
        <v>256</v>
      </c>
      <c r="P91" s="616">
        <f>SUM(P5:P45,P49:P72,P75:P81,P84:P89,P90)</f>
        <v>6228</v>
      </c>
      <c r="Q91" s="616">
        <f>SUM(Q5:Q45,Q49:Q73,Q75:Q82,Q84:Q89,Q90)</f>
        <v>14992</v>
      </c>
    </row>
  </sheetData>
  <mergeCells count="6">
    <mergeCell ref="C3:I3"/>
    <mergeCell ref="J3:P3"/>
    <mergeCell ref="Q3:Q4"/>
    <mergeCell ref="C46:I46"/>
    <mergeCell ref="J46:P46"/>
    <mergeCell ref="Q46:Q47"/>
  </mergeCells>
  <phoneticPr fontId="2"/>
  <printOptions horizontalCentered="1"/>
  <pageMargins left="0.70866141732283472" right="0.70866141732283472" top="0.74803149606299213" bottom="0.74803149606299213" header="0.31496062992125984" footer="0.31496062992125984"/>
  <pageSetup paperSize="9" scale="93" fitToWidth="0" fitToHeight="0" orientation="portrait" r:id="rId1"/>
  <rowBreaks count="1" manualBreakCount="1">
    <brk id="45" min="1"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58370" r:id="rId4" name="Button 2">
              <controlPr defaultSize="0" print="0" autoFill="0" autoPict="0" macro="[0]!データ削除_入院時住所地">
                <anchor moveWithCells="1" sizeWithCells="1">
                  <from>
                    <xdr:col>18</xdr:col>
                    <xdr:colOff>371475</xdr:colOff>
                    <xdr:row>1</xdr:row>
                    <xdr:rowOff>104775</xdr:rowOff>
                  </from>
                  <to>
                    <xdr:col>22</xdr:col>
                    <xdr:colOff>552450</xdr:colOff>
                    <xdr:row>3</xdr:row>
                    <xdr:rowOff>104775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6" tint="-0.249977111117893"/>
    <pageSetUpPr fitToPage="1"/>
  </sheetPr>
  <dimension ref="A1:U62"/>
  <sheetViews>
    <sheetView showGridLines="0" view="pageBreakPreview" topLeftCell="A4" zoomScale="80" zoomScaleNormal="70" zoomScaleSheetLayoutView="80" workbookViewId="0">
      <selection activeCell="F4" sqref="F4:K21"/>
    </sheetView>
  </sheetViews>
  <sheetFormatPr defaultRowHeight="18.75" customHeight="1" x14ac:dyDescent="0.15"/>
  <cols>
    <col min="1" max="1" width="3.125" style="1" customWidth="1"/>
    <col min="2" max="2" width="52.5" style="1" customWidth="1"/>
    <col min="3" max="4" width="9.375" style="1" customWidth="1"/>
    <col min="5" max="5" width="4.125" style="1" customWidth="1"/>
    <col min="6" max="6" width="8.75" style="1" customWidth="1"/>
    <col min="7" max="7" width="43.75" style="1" customWidth="1"/>
    <col min="8" max="10" width="9.375" style="1" customWidth="1"/>
    <col min="11" max="11" width="10.25" style="1" customWidth="1"/>
    <col min="12" max="12" width="5" style="1" customWidth="1"/>
    <col min="13" max="13" width="71" style="1" hidden="1" customWidth="1"/>
    <col min="14" max="14" width="7.375" style="1" hidden="1" customWidth="1"/>
    <col min="15" max="15" width="17.25" style="1" customWidth="1"/>
    <col min="16" max="16" width="15.625" style="1" customWidth="1"/>
    <col min="17" max="17" width="7.375" style="1" customWidth="1"/>
    <col min="18" max="20" width="9" style="1"/>
    <col min="21" max="21" width="11.875" style="1" customWidth="1"/>
    <col min="22" max="16384" width="9" style="1"/>
  </cols>
  <sheetData>
    <row r="1" spans="1:21" s="3" customFormat="1" ht="18.75" customHeight="1" x14ac:dyDescent="0.15">
      <c r="A1" s="2" t="s">
        <v>119</v>
      </c>
      <c r="B1" s="2"/>
    </row>
    <row r="2" spans="1:21" ht="18.75" customHeight="1" x14ac:dyDescent="0.15">
      <c r="A2" s="4"/>
      <c r="B2" s="4"/>
      <c r="M2" s="155"/>
      <c r="N2" s="32"/>
      <c r="O2" s="32"/>
      <c r="P2" s="32"/>
      <c r="R2" s="155"/>
      <c r="S2" s="32"/>
      <c r="T2" s="32"/>
      <c r="U2" s="32"/>
    </row>
    <row r="3" spans="1:21" s="3" customFormat="1" ht="18.75" customHeight="1" x14ac:dyDescent="0.15">
      <c r="A3" s="4" t="s">
        <v>13</v>
      </c>
      <c r="B3" s="4"/>
      <c r="F3" s="4" t="s">
        <v>113</v>
      </c>
      <c r="G3" s="4"/>
      <c r="M3" s="184"/>
      <c r="N3" s="37"/>
      <c r="O3" s="38"/>
      <c r="P3" s="35"/>
      <c r="Q3" s="1"/>
      <c r="R3" s="184"/>
      <c r="S3" s="37"/>
      <c r="T3" s="38"/>
      <c r="U3" s="35"/>
    </row>
    <row r="4" spans="1:21" ht="18.75" customHeight="1" x14ac:dyDescent="0.15">
      <c r="A4" s="247"/>
      <c r="B4" s="248"/>
      <c r="C4" s="255" t="s">
        <v>0</v>
      </c>
      <c r="D4" s="255" t="s">
        <v>1</v>
      </c>
      <c r="F4" s="267"/>
      <c r="G4" s="268"/>
      <c r="H4" s="255" t="s">
        <v>114</v>
      </c>
      <c r="I4" s="255" t="s">
        <v>116</v>
      </c>
      <c r="J4" s="255" t="s">
        <v>12</v>
      </c>
      <c r="K4" s="255" t="s">
        <v>1</v>
      </c>
      <c r="M4" s="54" t="s">
        <v>295</v>
      </c>
      <c r="N4" s="407" t="s">
        <v>325</v>
      </c>
      <c r="O4" s="16" t="s">
        <v>362</v>
      </c>
      <c r="P4" s="35"/>
      <c r="R4" s="184"/>
      <c r="S4" s="37"/>
      <c r="T4" s="38"/>
      <c r="U4" s="35"/>
    </row>
    <row r="5" spans="1:21" ht="18.75" customHeight="1" x14ac:dyDescent="0.15">
      <c r="A5" s="884" t="s">
        <v>120</v>
      </c>
      <c r="B5" s="885"/>
      <c r="C5" s="256">
        <f>SUM(C6:C8)</f>
        <v>4235</v>
      </c>
      <c r="D5" s="257">
        <f>SUM(D6:D8)</f>
        <v>0.28248399146211312</v>
      </c>
      <c r="F5" s="881" t="s">
        <v>120</v>
      </c>
      <c r="G5" s="882"/>
      <c r="H5" s="258">
        <f t="shared" ref="H5:I5" si="0">SUM(H6:H8)</f>
        <v>68</v>
      </c>
      <c r="I5" s="256">
        <f t="shared" si="0"/>
        <v>260</v>
      </c>
      <c r="J5" s="256">
        <f>SUM(H5:I5)</f>
        <v>328</v>
      </c>
      <c r="K5" s="296">
        <f t="shared" ref="K5:K20" si="1">IFERROR(J5/J$21,"-")</f>
        <v>0.1979480989740495</v>
      </c>
      <c r="M5" s="54" t="s">
        <v>284</v>
      </c>
      <c r="N5" s="407" t="s">
        <v>314</v>
      </c>
      <c r="O5" s="16" t="s">
        <v>363</v>
      </c>
      <c r="P5" s="35"/>
      <c r="R5" s="184"/>
      <c r="S5" s="37"/>
      <c r="T5" s="38"/>
      <c r="U5" s="35"/>
    </row>
    <row r="6" spans="1:21" ht="36.75" customHeight="1" x14ac:dyDescent="0.15">
      <c r="A6" s="249"/>
      <c r="B6" s="252" t="s">
        <v>121</v>
      </c>
      <c r="C6" s="261">
        <f>IFERROR(VLOOKUP($M4,疾患別[#All],2,FALSE),0)</f>
        <v>2137</v>
      </c>
      <c r="D6" s="262">
        <f t="shared" ref="D6:D20" si="2">IFERROR(C6/C$21,"-")</f>
        <v>0.14254268943436499</v>
      </c>
      <c r="F6" s="249"/>
      <c r="G6" s="689" t="s">
        <v>121</v>
      </c>
      <c r="H6" s="261">
        <f>IFERROR(VLOOKUP($M4,疾患別＿寛解[#All],2,FALSE),0)</f>
        <v>37</v>
      </c>
      <c r="I6" s="261">
        <f>IFERROR(VLOOKUP($M4,疾患別＿院内寛解[#All],2,FALSE),0)</f>
        <v>117</v>
      </c>
      <c r="J6" s="272">
        <f t="shared" ref="J6:J19" si="3">SUM(H6:I6)</f>
        <v>154</v>
      </c>
      <c r="K6" s="273">
        <f t="shared" si="1"/>
        <v>9.2939046469523237E-2</v>
      </c>
      <c r="M6" s="54" t="s">
        <v>285</v>
      </c>
      <c r="N6" s="407" t="s">
        <v>315</v>
      </c>
      <c r="O6" s="38"/>
      <c r="P6" s="35"/>
      <c r="R6" s="184"/>
      <c r="S6" s="37"/>
      <c r="T6" s="38"/>
      <c r="U6" s="35"/>
    </row>
    <row r="7" spans="1:21" ht="18.75" customHeight="1" x14ac:dyDescent="0.15">
      <c r="A7" s="249"/>
      <c r="B7" s="253" t="s">
        <v>122</v>
      </c>
      <c r="C7" s="261">
        <f>IFERROR(VLOOKUP($M5,疾患別[#All],2,FALSE),0)</f>
        <v>322</v>
      </c>
      <c r="D7" s="264">
        <f t="shared" si="2"/>
        <v>2.1478121664887939E-2</v>
      </c>
      <c r="F7" s="249"/>
      <c r="G7" s="253" t="s">
        <v>106</v>
      </c>
      <c r="H7" s="274">
        <f>IFERROR(VLOOKUP($M5,疾患別＿寛解[#All],2,FALSE),0)</f>
        <v>1</v>
      </c>
      <c r="I7" s="274">
        <f>IFERROR(VLOOKUP($M5,疾患別＿院内寛解[#All],2,FALSE),0)</f>
        <v>17</v>
      </c>
      <c r="J7" s="275">
        <f t="shared" si="3"/>
        <v>18</v>
      </c>
      <c r="K7" s="276">
        <f t="shared" si="1"/>
        <v>1.0863005431502716E-2</v>
      </c>
      <c r="M7" s="54" t="s">
        <v>286</v>
      </c>
      <c r="N7" s="407" t="s">
        <v>316</v>
      </c>
      <c r="O7" s="38"/>
      <c r="P7" s="35"/>
      <c r="R7" s="184"/>
      <c r="S7" s="37"/>
      <c r="T7" s="38"/>
      <c r="U7" s="35"/>
    </row>
    <row r="8" spans="1:21" ht="37.5" customHeight="1" x14ac:dyDescent="0.15">
      <c r="A8" s="250"/>
      <c r="B8" s="254" t="s">
        <v>19</v>
      </c>
      <c r="C8" s="261">
        <f>IFERROR(VLOOKUP($M6,疾患別[#All],2,FALSE),0)</f>
        <v>1776</v>
      </c>
      <c r="D8" s="266">
        <f t="shared" si="2"/>
        <v>0.11846318036286019</v>
      </c>
      <c r="F8" s="280"/>
      <c r="G8" s="690" t="s">
        <v>585</v>
      </c>
      <c r="H8" s="277">
        <f>IFERROR(VLOOKUP($M6,疾患別＿寛解[#All],2,FALSE),0)</f>
        <v>30</v>
      </c>
      <c r="I8" s="277">
        <f>IFERROR(VLOOKUP($M6,疾患別＿院内寛解[#All],2,FALSE),0)</f>
        <v>126</v>
      </c>
      <c r="J8" s="278">
        <f t="shared" si="3"/>
        <v>156</v>
      </c>
      <c r="K8" s="279">
        <f t="shared" si="1"/>
        <v>9.4146047073023542E-2</v>
      </c>
      <c r="M8" s="54" t="s">
        <v>312</v>
      </c>
      <c r="N8" s="407" t="s">
        <v>317</v>
      </c>
      <c r="O8" s="38"/>
      <c r="P8" s="35"/>
      <c r="R8" s="184"/>
      <c r="S8" s="37"/>
      <c r="T8" s="38"/>
      <c r="U8" s="35"/>
    </row>
    <row r="9" spans="1:21" ht="18.75" customHeight="1" x14ac:dyDescent="0.15">
      <c r="A9" s="879" t="s">
        <v>20</v>
      </c>
      <c r="B9" s="880"/>
      <c r="C9" s="258">
        <f>IFERROR(VLOOKUP($M7,疾患別[#All],2,FALSE),0)+IFERROR(VLOOKUP($M8,疾患別[#All],2,FALSE),0)+IFERROR(VLOOKUP($M9,疾患別[#All],2,FALSE),0)</f>
        <v>813</v>
      </c>
      <c r="D9" s="459">
        <f t="shared" si="2"/>
        <v>5.4228922091782282E-2</v>
      </c>
      <c r="F9" s="883" t="s">
        <v>20</v>
      </c>
      <c r="G9" s="882"/>
      <c r="H9" s="258">
        <f>IFERROR(VLOOKUP($M7,疾患別＿寛解[#All],2,FALSE),0)+IFERROR(VLOOKUP($M8,疾患別＿寛解[#All],2,FALSE),0)+IFERROR(VLOOKUP($M9,疾患別＿寛解[#All],2,FALSE),0)</f>
        <v>76</v>
      </c>
      <c r="I9" s="258">
        <f>IFERROR(VLOOKUP($M7,疾患別＿院内寛解[#All],2,FALSE),0)+IFERROR(VLOOKUP($M8,疾患別＿院内寛解[#All],2,FALSE),0)+IFERROR(VLOOKUP($M9,疾患別＿院内寛解[#All],2,FALSE),0)</f>
        <v>157</v>
      </c>
      <c r="J9" s="256">
        <f t="shared" si="3"/>
        <v>233</v>
      </c>
      <c r="K9" s="458">
        <f t="shared" si="1"/>
        <v>0.14061557030778515</v>
      </c>
      <c r="M9" s="54" t="s">
        <v>313</v>
      </c>
      <c r="N9" s="407" t="s">
        <v>318</v>
      </c>
      <c r="O9" s="38"/>
      <c r="P9" s="35"/>
      <c r="R9" s="184"/>
      <c r="S9" s="37"/>
      <c r="T9" s="38"/>
      <c r="U9" s="35"/>
    </row>
    <row r="10" spans="1:21" ht="18.75" customHeight="1" x14ac:dyDescent="0.15">
      <c r="A10" s="879" t="s">
        <v>272</v>
      </c>
      <c r="B10" s="880"/>
      <c r="C10" s="258">
        <f>IFERROR(VLOOKUP($M10,疾患別[#All],2,FALSE),0)</f>
        <v>7329</v>
      </c>
      <c r="D10" s="459">
        <f t="shared" si="2"/>
        <v>0.48886072572038419</v>
      </c>
      <c r="F10" s="883" t="s">
        <v>272</v>
      </c>
      <c r="G10" s="882"/>
      <c r="H10" s="258">
        <f>IFERROR(VLOOKUP($M10,疾患別＿寛解[#All],2,FALSE),0)</f>
        <v>113</v>
      </c>
      <c r="I10" s="258">
        <f>IFERROR(VLOOKUP($M10,疾患別＿院内寛解[#All],2,FALSE),0)</f>
        <v>516</v>
      </c>
      <c r="J10" s="256">
        <f t="shared" si="3"/>
        <v>629</v>
      </c>
      <c r="K10" s="458">
        <f t="shared" si="1"/>
        <v>0.37960168980084491</v>
      </c>
      <c r="M10" s="54" t="s">
        <v>287</v>
      </c>
      <c r="N10" s="407" t="s">
        <v>319</v>
      </c>
      <c r="O10" s="38"/>
      <c r="P10" s="35"/>
      <c r="R10" s="184"/>
      <c r="S10" s="37"/>
      <c r="T10" s="38"/>
      <c r="U10" s="35"/>
    </row>
    <row r="11" spans="1:21" ht="18.75" customHeight="1" x14ac:dyDescent="0.15">
      <c r="A11" s="879" t="s">
        <v>22</v>
      </c>
      <c r="B11" s="880"/>
      <c r="C11" s="258">
        <f>IFERROR(VLOOKUP($M11,疾患別[#All],2,FALSE),0)+IFERROR(VLOOKUP($M12,疾患別[#All],2,FALSE),0)</f>
        <v>1533</v>
      </c>
      <c r="D11" s="459">
        <f t="shared" si="2"/>
        <v>0.10225453575240127</v>
      </c>
      <c r="F11" s="883" t="s">
        <v>22</v>
      </c>
      <c r="G11" s="882"/>
      <c r="H11" s="258">
        <f>IFERROR(VLOOKUP($M11,疾患別＿寛解[#All],2,FALSE),0)+IFERROR(VLOOKUP($M12,疾患別＿寛解[#All],2,FALSE),0)</f>
        <v>70</v>
      </c>
      <c r="I11" s="258">
        <f>IFERROR(VLOOKUP($M11,疾患別＿院内寛解[#All],2,FALSE),0)+IFERROR(VLOOKUP($M12,疾患別＿院内寛解[#All],2,FALSE),0)</f>
        <v>227</v>
      </c>
      <c r="J11" s="256">
        <f t="shared" si="3"/>
        <v>297</v>
      </c>
      <c r="K11" s="458">
        <f t="shared" si="1"/>
        <v>0.1792395896197948</v>
      </c>
      <c r="M11" s="54" t="s">
        <v>288</v>
      </c>
      <c r="N11" s="407" t="s">
        <v>320</v>
      </c>
      <c r="O11" s="38"/>
      <c r="P11" s="35"/>
      <c r="R11" s="184"/>
      <c r="S11" s="37"/>
      <c r="T11" s="38"/>
      <c r="U11" s="35"/>
    </row>
    <row r="12" spans="1:21" ht="18.75" customHeight="1" x14ac:dyDescent="0.15">
      <c r="A12" s="879" t="s">
        <v>107</v>
      </c>
      <c r="B12" s="880"/>
      <c r="C12" s="258">
        <f>IFERROR(VLOOKUP($M13,疾患別[#All],2,FALSE),0)</f>
        <v>272</v>
      </c>
      <c r="D12" s="459">
        <f t="shared" si="2"/>
        <v>1.8143009605122731E-2</v>
      </c>
      <c r="F12" s="883" t="s">
        <v>24</v>
      </c>
      <c r="G12" s="882"/>
      <c r="H12" s="258">
        <f>IFERROR(VLOOKUP($M13,疾患別＿寛解[#All],2,FALSE),0)</f>
        <v>29</v>
      </c>
      <c r="I12" s="258">
        <f>IFERROR(VLOOKUP($M13,疾患別＿院内寛解[#All],2,FALSE),0)</f>
        <v>48</v>
      </c>
      <c r="J12" s="256">
        <f t="shared" si="3"/>
        <v>77</v>
      </c>
      <c r="K12" s="458">
        <f t="shared" si="1"/>
        <v>4.6469523234761619E-2</v>
      </c>
      <c r="M12" s="54" t="s">
        <v>289</v>
      </c>
      <c r="N12" s="407" t="s">
        <v>321</v>
      </c>
      <c r="O12" s="38"/>
      <c r="P12" s="35"/>
      <c r="R12" s="185"/>
      <c r="S12" s="37"/>
      <c r="T12" s="38"/>
      <c r="U12" s="35"/>
    </row>
    <row r="13" spans="1:21" ht="18.75" customHeight="1" x14ac:dyDescent="0.15">
      <c r="A13" s="879" t="s">
        <v>108</v>
      </c>
      <c r="B13" s="880"/>
      <c r="C13" s="258">
        <f>IFERROR(VLOOKUP($M14,疾患別[#All],2,FALSE),0)</f>
        <v>33</v>
      </c>
      <c r="D13" s="459">
        <f t="shared" si="2"/>
        <v>2.2011739594450372E-3</v>
      </c>
      <c r="F13" s="883" t="s">
        <v>25</v>
      </c>
      <c r="G13" s="882"/>
      <c r="H13" s="258">
        <f>IFERROR(VLOOKUP($M14,疾患別＿寛解[#All],2,FALSE),0)</f>
        <v>3</v>
      </c>
      <c r="I13" s="258">
        <f>IFERROR(VLOOKUP($M14,疾患別＿院内寛解[#All],2,FALSE),0)</f>
        <v>1</v>
      </c>
      <c r="J13" s="256">
        <f t="shared" si="3"/>
        <v>4</v>
      </c>
      <c r="K13" s="458">
        <f t="shared" si="1"/>
        <v>2.4140012070006035E-3</v>
      </c>
      <c r="M13" s="54" t="s">
        <v>290</v>
      </c>
      <c r="N13" s="407" t="s">
        <v>322</v>
      </c>
      <c r="O13" s="38"/>
      <c r="P13" s="35"/>
      <c r="R13" s="185"/>
      <c r="S13" s="37"/>
      <c r="T13" s="38"/>
      <c r="U13" s="35"/>
    </row>
    <row r="14" spans="1:21" ht="18.75" customHeight="1" x14ac:dyDescent="0.15">
      <c r="A14" s="879" t="s">
        <v>256</v>
      </c>
      <c r="B14" s="880"/>
      <c r="C14" s="258">
        <f>IFERROR(VLOOKUP($M15,疾患別[#All],2,FALSE),0)</f>
        <v>54</v>
      </c>
      <c r="D14" s="459">
        <f t="shared" si="2"/>
        <v>3.6019210245464249E-3</v>
      </c>
      <c r="F14" s="883" t="s">
        <v>256</v>
      </c>
      <c r="G14" s="882"/>
      <c r="H14" s="258">
        <f>IFERROR(VLOOKUP($M15,疾患別＿寛解[#All],2,FALSE),0)</f>
        <v>5</v>
      </c>
      <c r="I14" s="258">
        <f>IFERROR(VLOOKUP($M15,疾患別＿院内寛解[#All],2,FALSE),0)</f>
        <v>9</v>
      </c>
      <c r="J14" s="256">
        <f t="shared" si="3"/>
        <v>14</v>
      </c>
      <c r="K14" s="458">
        <f t="shared" si="1"/>
        <v>8.4490042245021126E-3</v>
      </c>
      <c r="M14" s="54" t="s">
        <v>291</v>
      </c>
      <c r="N14" s="407" t="s">
        <v>323</v>
      </c>
      <c r="O14" s="38"/>
      <c r="P14" s="35"/>
      <c r="R14" s="185"/>
      <c r="S14" s="37"/>
      <c r="T14" s="38"/>
      <c r="U14" s="35"/>
    </row>
    <row r="15" spans="1:21" ht="18.75" customHeight="1" x14ac:dyDescent="0.15">
      <c r="A15" s="879" t="s">
        <v>257</v>
      </c>
      <c r="B15" s="880"/>
      <c r="C15" s="258">
        <f>IFERROR(VLOOKUP($M16,疾患別[#All],2,FALSE),0)</f>
        <v>288</v>
      </c>
      <c r="D15" s="459">
        <f t="shared" si="2"/>
        <v>1.9210245464247599E-2</v>
      </c>
      <c r="F15" s="883" t="s">
        <v>257</v>
      </c>
      <c r="G15" s="882"/>
      <c r="H15" s="258">
        <f>IFERROR(VLOOKUP($M16,疾患別＿寛解[#All],2,FALSE),0)</f>
        <v>6</v>
      </c>
      <c r="I15" s="258">
        <f>IFERROR(VLOOKUP($M16,疾患別＿院内寛解[#All],2,FALSE),0)</f>
        <v>18</v>
      </c>
      <c r="J15" s="256">
        <f t="shared" si="3"/>
        <v>24</v>
      </c>
      <c r="K15" s="458">
        <f t="shared" si="1"/>
        <v>1.448400724200362E-2</v>
      </c>
      <c r="M15" s="54" t="s">
        <v>296</v>
      </c>
      <c r="N15" s="407" t="s">
        <v>324</v>
      </c>
      <c r="O15" s="38"/>
      <c r="P15" s="35"/>
      <c r="R15" s="184"/>
      <c r="S15" s="37"/>
      <c r="T15" s="38"/>
      <c r="U15" s="35"/>
    </row>
    <row r="16" spans="1:21" ht="18.75" customHeight="1" x14ac:dyDescent="0.15">
      <c r="A16" s="879" t="s">
        <v>23</v>
      </c>
      <c r="B16" s="880"/>
      <c r="C16" s="258">
        <f>IFERROR(VLOOKUP($M17,疾患別[#All],2,FALSE),0)</f>
        <v>165</v>
      </c>
      <c r="D16" s="459">
        <f t="shared" si="2"/>
        <v>1.1005869797225187E-2</v>
      </c>
      <c r="E16" s="139"/>
      <c r="F16" s="883" t="s">
        <v>23</v>
      </c>
      <c r="G16" s="882"/>
      <c r="H16" s="258">
        <f>IFERROR(VLOOKUP($M17,疾患別＿寛解[#All],2,FALSE),0)</f>
        <v>4</v>
      </c>
      <c r="I16" s="258">
        <f>IFERROR(VLOOKUP($M17,疾患別＿院内寛解[#All],2,FALSE),0)</f>
        <v>23</v>
      </c>
      <c r="J16" s="256">
        <f t="shared" si="3"/>
        <v>27</v>
      </c>
      <c r="K16" s="458">
        <f t="shared" si="1"/>
        <v>1.6294508147254073E-2</v>
      </c>
      <c r="M16" s="54" t="s">
        <v>292</v>
      </c>
      <c r="N16" s="407" t="s">
        <v>377</v>
      </c>
      <c r="O16" s="38"/>
      <c r="P16" s="35"/>
      <c r="R16" s="186"/>
      <c r="S16" s="37"/>
      <c r="T16" s="38"/>
      <c r="U16" s="35"/>
    </row>
    <row r="17" spans="1:21" ht="18.75" customHeight="1" x14ac:dyDescent="0.15">
      <c r="A17" s="879" t="s">
        <v>258</v>
      </c>
      <c r="B17" s="889"/>
      <c r="C17" s="258">
        <f>IFERROR(VLOOKUP($M18,疾患別[#All],2,FALSE),0)</f>
        <v>43</v>
      </c>
      <c r="D17" s="459">
        <f t="shared" si="2"/>
        <v>2.8681963713980789E-3</v>
      </c>
      <c r="E17" s="38"/>
      <c r="F17" s="883" t="s">
        <v>258</v>
      </c>
      <c r="G17" s="888"/>
      <c r="H17" s="258">
        <f>IFERROR(VLOOKUP($M18,疾患別＿寛解[#All],2,FALSE),0)</f>
        <v>2</v>
      </c>
      <c r="I17" s="258">
        <f>IFERROR(VLOOKUP($M18,疾患別＿院内寛解[#All],2,FALSE),0)</f>
        <v>6</v>
      </c>
      <c r="J17" s="256">
        <f t="shared" si="3"/>
        <v>8</v>
      </c>
      <c r="K17" s="458">
        <f t="shared" si="1"/>
        <v>4.8280024140012071E-3</v>
      </c>
      <c r="M17" s="54" t="s">
        <v>293</v>
      </c>
      <c r="N17" s="37"/>
      <c r="O17" s="38"/>
      <c r="P17" s="35"/>
      <c r="R17" s="155"/>
      <c r="S17" s="37"/>
      <c r="T17" s="38"/>
      <c r="U17" s="35"/>
    </row>
    <row r="18" spans="1:21" ht="18.75" customHeight="1" x14ac:dyDescent="0.15">
      <c r="A18" s="879" t="s">
        <v>123</v>
      </c>
      <c r="B18" s="880"/>
      <c r="C18" s="258">
        <f>IFERROR(VLOOKUP($M19,疾患別[#All],2,FALSE),0)</f>
        <v>48</v>
      </c>
      <c r="D18" s="459">
        <f t="shared" si="2"/>
        <v>3.2017075773745998E-3</v>
      </c>
      <c r="E18" s="139"/>
      <c r="F18" s="883" t="s">
        <v>123</v>
      </c>
      <c r="G18" s="882"/>
      <c r="H18" s="258">
        <f>IFERROR(VLOOKUP($M19,疾患別＿寛解[#All],2,FALSE),0)</f>
        <v>0</v>
      </c>
      <c r="I18" s="258">
        <f>IFERROR(VLOOKUP($M19,疾患別＿院内寛解[#All],2,FALSE),0)</f>
        <v>4</v>
      </c>
      <c r="J18" s="256">
        <f>SUM(H18:I18)</f>
        <v>4</v>
      </c>
      <c r="K18" s="458">
        <f t="shared" si="1"/>
        <v>2.4140012070006035E-3</v>
      </c>
      <c r="M18" s="54" t="s">
        <v>297</v>
      </c>
    </row>
    <row r="19" spans="1:21" ht="18.75" customHeight="1" x14ac:dyDescent="0.15">
      <c r="A19" s="877" t="s">
        <v>18</v>
      </c>
      <c r="B19" s="878"/>
      <c r="C19" s="258">
        <f>IFERROR(VLOOKUP($M20,疾患別[#All],2,FALSE),0)</f>
        <v>178</v>
      </c>
      <c r="D19" s="459">
        <f t="shared" si="2"/>
        <v>1.1872998932764141E-2</v>
      </c>
      <c r="E19" s="38"/>
      <c r="F19" s="886" t="s">
        <v>18</v>
      </c>
      <c r="G19" s="887"/>
      <c r="H19" s="258">
        <f>IFERROR(VLOOKUP($M20,疾患別＿寛解[#All],2,FALSE),0)</f>
        <v>3</v>
      </c>
      <c r="I19" s="258">
        <f>IFERROR(VLOOKUP($M20,疾患別＿院内寛解[#All],2,FALSE),0)</f>
        <v>9</v>
      </c>
      <c r="J19" s="256">
        <f t="shared" si="3"/>
        <v>12</v>
      </c>
      <c r="K19" s="458">
        <f t="shared" si="1"/>
        <v>7.2420036210018102E-3</v>
      </c>
      <c r="M19" s="54" t="s">
        <v>294</v>
      </c>
    </row>
    <row r="20" spans="1:21" ht="18.75" customHeight="1" x14ac:dyDescent="0.15">
      <c r="A20" s="877" t="s">
        <v>376</v>
      </c>
      <c r="B20" s="878"/>
      <c r="C20" s="258">
        <f>IFERROR(VLOOKUP($M21,疾患別[#All],2,FALSE),0)</f>
        <v>1</v>
      </c>
      <c r="D20" s="459">
        <f t="shared" si="2"/>
        <v>6.6702241195304166E-5</v>
      </c>
      <c r="E20" s="38"/>
      <c r="F20" s="877" t="s">
        <v>376</v>
      </c>
      <c r="G20" s="878"/>
      <c r="H20" s="258">
        <f>IFERROR(VLOOKUP($M21,疾患別＿寛解[#All],2,FALSE),0)</f>
        <v>0</v>
      </c>
      <c r="I20" s="258">
        <f>IFERROR(VLOOKUP($M21,疾患別＿院内寛解[#All],2,FALSE),0)</f>
        <v>0</v>
      </c>
      <c r="J20" s="256">
        <f t="shared" ref="J20" si="4">SUM(H20:I20)</f>
        <v>0</v>
      </c>
      <c r="K20" s="458">
        <f t="shared" si="1"/>
        <v>0</v>
      </c>
      <c r="M20" s="54" t="s">
        <v>18</v>
      </c>
    </row>
    <row r="21" spans="1:21" ht="18.75" customHeight="1" x14ac:dyDescent="0.15">
      <c r="A21" s="251" t="s">
        <v>11</v>
      </c>
      <c r="B21" s="18"/>
      <c r="C21" s="259">
        <f>SUM(C6:C20)</f>
        <v>14992</v>
      </c>
      <c r="D21" s="260">
        <f>SUM(D6:D20)</f>
        <v>1</v>
      </c>
      <c r="F21" s="269" t="s">
        <v>11</v>
      </c>
      <c r="G21" s="270"/>
      <c r="H21" s="259">
        <f>SUM(H6:H20)</f>
        <v>379</v>
      </c>
      <c r="I21" s="259">
        <f>SUM(I6:I20)</f>
        <v>1278</v>
      </c>
      <c r="J21" s="259">
        <f>SUM(J6:J20)</f>
        <v>1657</v>
      </c>
      <c r="K21" s="260">
        <f>SUM(K6:K20)</f>
        <v>1</v>
      </c>
      <c r="M21" s="54" t="s">
        <v>376</v>
      </c>
    </row>
    <row r="22" spans="1:21" ht="18.75" customHeight="1" x14ac:dyDescent="0.15">
      <c r="A22" s="37"/>
      <c r="B22" s="55" t="s">
        <v>63</v>
      </c>
      <c r="C22" s="44"/>
      <c r="G22" s="55" t="s">
        <v>63</v>
      </c>
      <c r="M22" s="155"/>
      <c r="N22" s="32"/>
      <c r="O22" s="32"/>
      <c r="P22" s="32"/>
    </row>
    <row r="23" spans="1:21" ht="18.75" customHeight="1" thickBot="1" x14ac:dyDescent="0.2">
      <c r="B23" s="484" t="s">
        <v>283</v>
      </c>
      <c r="C23" s="480" t="s">
        <v>0</v>
      </c>
      <c r="G23" s="484" t="s">
        <v>283</v>
      </c>
      <c r="H23" s="480" t="s">
        <v>28</v>
      </c>
      <c r="M23" s="184"/>
      <c r="N23" s="37"/>
      <c r="O23" s="38"/>
      <c r="P23" s="35"/>
    </row>
    <row r="24" spans="1:21" s="3" customFormat="1" ht="18.75" customHeight="1" thickTop="1" thickBot="1" x14ac:dyDescent="0.2">
      <c r="B24" s="415" t="s">
        <v>373</v>
      </c>
      <c r="C24" s="34" t="s">
        <v>616</v>
      </c>
      <c r="F24" s="391"/>
      <c r="G24" s="415" t="s">
        <v>373</v>
      </c>
      <c r="H24" s="34" t="s">
        <v>616</v>
      </c>
      <c r="L24" s="394"/>
      <c r="M24" s="394"/>
      <c r="O24" s="38"/>
      <c r="P24" s="35"/>
    </row>
    <row r="25" spans="1:21" ht="18.75" customHeight="1" thickTop="1" x14ac:dyDescent="0.15">
      <c r="A25" s="42"/>
      <c r="B25" s="42" t="s">
        <v>295</v>
      </c>
      <c r="C25" s="158">
        <v>2137</v>
      </c>
      <c r="F25" s="392"/>
      <c r="G25" s="42" t="s">
        <v>295</v>
      </c>
      <c r="H25" s="158">
        <v>37</v>
      </c>
      <c r="M25" s="184"/>
      <c r="O25" s="38"/>
      <c r="P25" s="35"/>
    </row>
    <row r="26" spans="1:21" ht="18.75" customHeight="1" x14ac:dyDescent="0.15">
      <c r="A26" s="42"/>
      <c r="B26" s="42" t="s">
        <v>284</v>
      </c>
      <c r="C26" s="158">
        <v>322</v>
      </c>
      <c r="F26" s="393"/>
      <c r="G26" s="388" t="s">
        <v>284</v>
      </c>
      <c r="H26" s="389">
        <v>1</v>
      </c>
      <c r="M26" s="184"/>
      <c r="O26" s="38"/>
      <c r="P26" s="35"/>
    </row>
    <row r="27" spans="1:21" ht="18.75" customHeight="1" x14ac:dyDescent="0.15">
      <c r="A27" s="42"/>
      <c r="B27" s="42" t="s">
        <v>285</v>
      </c>
      <c r="C27" s="158">
        <v>1776</v>
      </c>
      <c r="F27" s="392"/>
      <c r="G27" s="386" t="s">
        <v>285</v>
      </c>
      <c r="H27" s="387">
        <v>30</v>
      </c>
      <c r="M27" s="184"/>
      <c r="O27" s="38"/>
      <c r="P27" s="35"/>
    </row>
    <row r="28" spans="1:21" ht="18.75" customHeight="1" x14ac:dyDescent="0.15">
      <c r="A28" s="42"/>
      <c r="B28" s="42" t="s">
        <v>286</v>
      </c>
      <c r="C28" s="158">
        <v>695</v>
      </c>
      <c r="F28" s="393"/>
      <c r="G28" s="388" t="s">
        <v>286</v>
      </c>
      <c r="H28" s="389">
        <v>73</v>
      </c>
      <c r="M28" s="184"/>
      <c r="O28" s="38"/>
      <c r="P28" s="35"/>
    </row>
    <row r="29" spans="1:21" ht="18.75" customHeight="1" x14ac:dyDescent="0.15">
      <c r="A29" s="54"/>
      <c r="B29" s="86" t="s">
        <v>200</v>
      </c>
      <c r="C29" s="158">
        <v>39</v>
      </c>
      <c r="F29" s="392"/>
      <c r="G29" s="386" t="s">
        <v>200</v>
      </c>
      <c r="H29" s="387">
        <v>1</v>
      </c>
      <c r="M29" s="184"/>
      <c r="O29" s="38"/>
      <c r="P29" s="35"/>
    </row>
    <row r="30" spans="1:21" ht="18.75" customHeight="1" x14ac:dyDescent="0.15">
      <c r="A30" s="42"/>
      <c r="B30" s="42" t="s">
        <v>201</v>
      </c>
      <c r="C30" s="158">
        <v>79</v>
      </c>
      <c r="F30" s="393"/>
      <c r="G30" s="388" t="s">
        <v>201</v>
      </c>
      <c r="H30" s="389">
        <v>2</v>
      </c>
      <c r="M30" s="184"/>
      <c r="O30" s="38"/>
      <c r="P30" s="35"/>
    </row>
    <row r="31" spans="1:21" ht="18.75" customHeight="1" x14ac:dyDescent="0.15">
      <c r="A31" s="42"/>
      <c r="B31" s="42" t="s">
        <v>287</v>
      </c>
      <c r="C31" s="158">
        <v>7329</v>
      </c>
      <c r="F31" s="392"/>
      <c r="G31" s="386" t="s">
        <v>287</v>
      </c>
      <c r="H31" s="387">
        <v>113</v>
      </c>
      <c r="O31" s="38"/>
      <c r="P31" s="35"/>
    </row>
    <row r="32" spans="1:21" ht="18.75" customHeight="1" x14ac:dyDescent="0.15">
      <c r="A32" s="42"/>
      <c r="B32" s="42" t="s">
        <v>288</v>
      </c>
      <c r="C32" s="158">
        <v>760</v>
      </c>
      <c r="F32" s="393"/>
      <c r="G32" s="388" t="s">
        <v>288</v>
      </c>
      <c r="H32" s="389">
        <v>29</v>
      </c>
      <c r="O32" s="38"/>
      <c r="P32" s="35"/>
    </row>
    <row r="33" spans="1:16" ht="18.75" customHeight="1" x14ac:dyDescent="0.15">
      <c r="A33" s="42"/>
      <c r="B33" s="42" t="s">
        <v>289</v>
      </c>
      <c r="C33" s="158">
        <v>773</v>
      </c>
      <c r="F33" s="392"/>
      <c r="G33" s="386" t="s">
        <v>289</v>
      </c>
      <c r="H33" s="387">
        <v>41</v>
      </c>
      <c r="O33" s="38"/>
      <c r="P33" s="35"/>
    </row>
    <row r="34" spans="1:16" ht="18.75" customHeight="1" x14ac:dyDescent="0.15">
      <c r="A34" s="42"/>
      <c r="B34" s="42" t="s">
        <v>290</v>
      </c>
      <c r="C34" s="158">
        <v>272</v>
      </c>
      <c r="F34" s="393"/>
      <c r="G34" s="388" t="s">
        <v>290</v>
      </c>
      <c r="H34" s="389">
        <v>29</v>
      </c>
      <c r="O34" s="38"/>
      <c r="P34" s="35"/>
    </row>
    <row r="35" spans="1:16" ht="18.75" customHeight="1" x14ac:dyDescent="0.15">
      <c r="A35" s="42"/>
      <c r="B35" s="42" t="s">
        <v>291</v>
      </c>
      <c r="C35" s="158">
        <v>33</v>
      </c>
      <c r="F35" s="392"/>
      <c r="G35" s="386" t="s">
        <v>291</v>
      </c>
      <c r="H35" s="387">
        <v>3</v>
      </c>
      <c r="O35" s="38"/>
      <c r="P35" s="35"/>
    </row>
    <row r="36" spans="1:16" ht="18.75" customHeight="1" x14ac:dyDescent="0.15">
      <c r="A36" s="42"/>
      <c r="B36" s="42" t="s">
        <v>296</v>
      </c>
      <c r="C36" s="158">
        <v>54</v>
      </c>
      <c r="F36" s="393"/>
      <c r="G36" s="388" t="s">
        <v>296</v>
      </c>
      <c r="H36" s="389">
        <v>5</v>
      </c>
      <c r="O36" s="38"/>
      <c r="P36" s="35"/>
    </row>
    <row r="37" spans="1:16" ht="18.75" customHeight="1" x14ac:dyDescent="0.15">
      <c r="A37" s="42"/>
      <c r="B37" s="42" t="s">
        <v>292</v>
      </c>
      <c r="C37" s="158">
        <v>288</v>
      </c>
      <c r="F37" s="392"/>
      <c r="G37" s="386" t="s">
        <v>292</v>
      </c>
      <c r="H37" s="387">
        <v>6</v>
      </c>
      <c r="O37" s="38"/>
      <c r="P37" s="35"/>
    </row>
    <row r="38" spans="1:16" ht="18.75" customHeight="1" x14ac:dyDescent="0.15">
      <c r="A38" s="42"/>
      <c r="B38" s="42" t="s">
        <v>293</v>
      </c>
      <c r="C38" s="158">
        <v>165</v>
      </c>
      <c r="F38" s="393"/>
      <c r="G38" s="388" t="s">
        <v>293</v>
      </c>
      <c r="H38" s="389">
        <v>4</v>
      </c>
    </row>
    <row r="39" spans="1:16" ht="18.75" customHeight="1" x14ac:dyDescent="0.15">
      <c r="A39" s="54"/>
      <c r="B39" s="86" t="s">
        <v>297</v>
      </c>
      <c r="C39" s="158">
        <v>43</v>
      </c>
      <c r="F39" s="392"/>
      <c r="G39" s="386" t="s">
        <v>297</v>
      </c>
      <c r="H39" s="387">
        <v>2</v>
      </c>
    </row>
    <row r="40" spans="1:16" ht="18.75" customHeight="1" x14ac:dyDescent="0.15">
      <c r="A40" s="42"/>
      <c r="B40" s="42" t="s">
        <v>18</v>
      </c>
      <c r="C40" s="158">
        <v>178</v>
      </c>
      <c r="F40" s="393"/>
      <c r="G40" s="390" t="s">
        <v>18</v>
      </c>
      <c r="H40" s="389">
        <v>3</v>
      </c>
    </row>
    <row r="41" spans="1:16" ht="18.75" customHeight="1" x14ac:dyDescent="0.15">
      <c r="A41" s="42"/>
      <c r="B41" s="42" t="s">
        <v>294</v>
      </c>
      <c r="C41" s="158">
        <v>48</v>
      </c>
      <c r="F41" s="392"/>
      <c r="G41" s="385" t="s">
        <v>294</v>
      </c>
      <c r="H41" s="384">
        <v>0</v>
      </c>
    </row>
    <row r="42" spans="1:16" ht="18.75" customHeight="1" x14ac:dyDescent="0.15">
      <c r="B42" s="42" t="s">
        <v>617</v>
      </c>
      <c r="C42" s="158">
        <v>1</v>
      </c>
      <c r="G42" s="385" t="s">
        <v>617</v>
      </c>
      <c r="H42" s="387">
        <v>0</v>
      </c>
    </row>
    <row r="43" spans="1:16" ht="18.75" customHeight="1" thickBot="1" x14ac:dyDescent="0.2">
      <c r="G43" s="391" t="s">
        <v>283</v>
      </c>
      <c r="H43" s="480" t="s">
        <v>29</v>
      </c>
    </row>
    <row r="44" spans="1:16" ht="18.75" customHeight="1" thickTop="1" thickBot="1" x14ac:dyDescent="0.2">
      <c r="G44" s="415" t="s">
        <v>373</v>
      </c>
      <c r="H44" s="34" t="s">
        <v>616</v>
      </c>
    </row>
    <row r="45" spans="1:16" ht="18.75" customHeight="1" thickTop="1" x14ac:dyDescent="0.15">
      <c r="G45" s="42" t="s">
        <v>295</v>
      </c>
      <c r="H45" s="158">
        <v>117</v>
      </c>
    </row>
    <row r="46" spans="1:16" ht="18.75" customHeight="1" x14ac:dyDescent="0.15">
      <c r="G46" s="42" t="s">
        <v>284</v>
      </c>
      <c r="H46" s="456">
        <v>17</v>
      </c>
    </row>
    <row r="47" spans="1:16" ht="18.75" customHeight="1" x14ac:dyDescent="0.15">
      <c r="G47" s="42" t="s">
        <v>285</v>
      </c>
      <c r="H47" s="456">
        <v>126</v>
      </c>
    </row>
    <row r="48" spans="1:16" ht="18.75" customHeight="1" x14ac:dyDescent="0.15">
      <c r="G48" s="42" t="s">
        <v>286</v>
      </c>
      <c r="H48" s="456">
        <v>147</v>
      </c>
    </row>
    <row r="49" spans="1:8" ht="18.75" customHeight="1" x14ac:dyDescent="0.15">
      <c r="G49" s="42" t="s">
        <v>200</v>
      </c>
      <c r="H49" s="456">
        <v>3</v>
      </c>
    </row>
    <row r="50" spans="1:8" ht="18.75" customHeight="1" x14ac:dyDescent="0.15">
      <c r="G50" s="42" t="s">
        <v>201</v>
      </c>
      <c r="H50" s="456">
        <v>7</v>
      </c>
    </row>
    <row r="51" spans="1:8" ht="18.75" customHeight="1" x14ac:dyDescent="0.15">
      <c r="G51" s="42" t="s">
        <v>287</v>
      </c>
      <c r="H51" s="456">
        <v>516</v>
      </c>
    </row>
    <row r="52" spans="1:8" ht="18.75" customHeight="1" x14ac:dyDescent="0.15">
      <c r="G52" s="42" t="s">
        <v>288</v>
      </c>
      <c r="H52" s="456">
        <v>118</v>
      </c>
    </row>
    <row r="53" spans="1:8" ht="18.75" customHeight="1" x14ac:dyDescent="0.15">
      <c r="G53" s="42" t="s">
        <v>289</v>
      </c>
      <c r="H53" s="456">
        <v>109</v>
      </c>
    </row>
    <row r="54" spans="1:8" ht="18.75" customHeight="1" x14ac:dyDescent="0.15">
      <c r="G54" s="42" t="s">
        <v>290</v>
      </c>
      <c r="H54" s="456">
        <v>48</v>
      </c>
    </row>
    <row r="55" spans="1:8" ht="18.75" customHeight="1" x14ac:dyDescent="0.15">
      <c r="G55" s="42" t="s">
        <v>291</v>
      </c>
      <c r="H55" s="456">
        <v>1</v>
      </c>
    </row>
    <row r="56" spans="1:8" ht="18.75" customHeight="1" x14ac:dyDescent="0.15">
      <c r="A56" s="42"/>
      <c r="B56" s="42"/>
      <c r="G56" s="42" t="s">
        <v>296</v>
      </c>
      <c r="H56" s="456">
        <v>9</v>
      </c>
    </row>
    <row r="57" spans="1:8" ht="18.75" customHeight="1" x14ac:dyDescent="0.15">
      <c r="G57" s="42" t="s">
        <v>292</v>
      </c>
      <c r="H57" s="456">
        <v>18</v>
      </c>
    </row>
    <row r="58" spans="1:8" ht="18.75" customHeight="1" x14ac:dyDescent="0.15">
      <c r="G58" s="42" t="s">
        <v>293</v>
      </c>
      <c r="H58" s="456">
        <v>23</v>
      </c>
    </row>
    <row r="59" spans="1:8" ht="18.75" customHeight="1" x14ac:dyDescent="0.15">
      <c r="G59" s="42" t="s">
        <v>297</v>
      </c>
      <c r="H59" s="456">
        <v>6</v>
      </c>
    </row>
    <row r="60" spans="1:8" ht="18.75" customHeight="1" x14ac:dyDescent="0.15">
      <c r="G60" s="42" t="s">
        <v>18</v>
      </c>
      <c r="H60" s="456">
        <v>9</v>
      </c>
    </row>
    <row r="61" spans="1:8" ht="18.75" customHeight="1" x14ac:dyDescent="0.15">
      <c r="G61" s="42" t="s">
        <v>294</v>
      </c>
      <c r="H61" s="456">
        <v>4</v>
      </c>
    </row>
    <row r="62" spans="1:8" ht="18.75" customHeight="1" x14ac:dyDescent="0.15">
      <c r="G62" s="42" t="s">
        <v>617</v>
      </c>
      <c r="H62" s="456">
        <v>0</v>
      </c>
    </row>
  </sheetData>
  <mergeCells count="26">
    <mergeCell ref="A19:B19"/>
    <mergeCell ref="F11:G11"/>
    <mergeCell ref="F12:G12"/>
    <mergeCell ref="F16:G16"/>
    <mergeCell ref="F17:G17"/>
    <mergeCell ref="F18:G18"/>
    <mergeCell ref="F13:G13"/>
    <mergeCell ref="F14:G14"/>
    <mergeCell ref="F15:G15"/>
    <mergeCell ref="A17:B17"/>
    <mergeCell ref="A20:B20"/>
    <mergeCell ref="F20:G20"/>
    <mergeCell ref="A13:B13"/>
    <mergeCell ref="A14:B14"/>
    <mergeCell ref="F5:G5"/>
    <mergeCell ref="F9:G9"/>
    <mergeCell ref="F10:G10"/>
    <mergeCell ref="A5:B5"/>
    <mergeCell ref="A9:B9"/>
    <mergeCell ref="A10:B10"/>
    <mergeCell ref="A15:B15"/>
    <mergeCell ref="A16:B16"/>
    <mergeCell ref="A11:B11"/>
    <mergeCell ref="A12:B12"/>
    <mergeCell ref="F19:G19"/>
    <mergeCell ref="A18:B18"/>
  </mergeCells>
  <phoneticPr fontId="2"/>
  <pageMargins left="0.70866141732283472" right="0.70866141732283472" top="0.74803149606299213" bottom="0.74803149606299213" header="0.31496062992125984" footer="0.31496062992125984"/>
  <pageSetup paperSize="9" scale="79"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Button 1">
              <controlPr defaultSize="0" print="0" autoFill="0" autoPict="0" macro="[0]!データ削除_疾患別">
                <anchor moveWithCells="1" sizeWithCells="1">
                  <from>
                    <xdr:col>9</xdr:col>
                    <xdr:colOff>133350</xdr:colOff>
                    <xdr:row>23</xdr:row>
                    <xdr:rowOff>28575</xdr:rowOff>
                  </from>
                  <to>
                    <xdr:col>11</xdr:col>
                    <xdr:colOff>85725</xdr:colOff>
                    <xdr:row>25</xdr:row>
                    <xdr:rowOff>76200</xdr:rowOff>
                  </to>
                </anchor>
              </controlPr>
            </control>
          </mc:Choice>
        </mc:AlternateContent>
      </controls>
    </mc:Choice>
  </mc:AlternateContent>
  <tableParts count="3">
    <tablePart r:id="rId5"/>
    <tablePart r:id="rId6"/>
    <tablePart r:id="rId7"/>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tabColor theme="7" tint="-0.249977111117893"/>
    <pageSetUpPr fitToPage="1"/>
  </sheetPr>
  <dimension ref="A1:R121"/>
  <sheetViews>
    <sheetView view="pageBreakPreview" topLeftCell="B1" zoomScale="80" zoomScaleNormal="100" zoomScaleSheetLayoutView="80" zoomScalePageLayoutView="110" workbookViewId="0">
      <selection activeCell="K11" sqref="K11"/>
    </sheetView>
  </sheetViews>
  <sheetFormatPr defaultRowHeight="13.5" customHeight="1" x14ac:dyDescent="0.15"/>
  <cols>
    <col min="1" max="1" width="18.125" style="747" customWidth="1"/>
    <col min="2" max="3" width="10.125" style="747" customWidth="1"/>
    <col min="4" max="4" width="4.875" style="747" customWidth="1"/>
    <col min="5" max="5" width="2.75" style="747" customWidth="1"/>
    <col min="6" max="6" width="40" style="747" customWidth="1"/>
    <col min="7" max="8" width="10.5" style="747" customWidth="1"/>
    <col min="9" max="9" width="3.125" style="747" customWidth="1"/>
    <col min="10" max="10" width="18.375" style="747" customWidth="1"/>
    <col min="11" max="13" width="9.5" style="747" customWidth="1"/>
    <col min="14" max="14" width="5.75" style="747" customWidth="1"/>
    <col min="15" max="15" width="9.125" style="747" customWidth="1"/>
    <col min="16" max="18" width="9.5" style="747" customWidth="1"/>
    <col min="19" max="19" width="9" style="747" customWidth="1"/>
    <col min="20" max="16384" width="9" style="747"/>
  </cols>
  <sheetData>
    <row r="1" spans="1:18" ht="20.25" customHeight="1" x14ac:dyDescent="0.15">
      <c r="A1" s="746" t="s">
        <v>624</v>
      </c>
      <c r="J1" s="748" t="s">
        <v>645</v>
      </c>
    </row>
    <row r="2" spans="1:18" ht="20.25" customHeight="1" x14ac:dyDescent="0.15">
      <c r="J2" s="749"/>
      <c r="K2" s="749" t="s">
        <v>646</v>
      </c>
      <c r="L2" s="749" t="s">
        <v>28</v>
      </c>
      <c r="M2" s="749" t="s">
        <v>29</v>
      </c>
      <c r="N2" s="750"/>
      <c r="O2" s="751"/>
      <c r="P2" s="752" t="s">
        <v>646</v>
      </c>
      <c r="Q2" s="749" t="s">
        <v>28</v>
      </c>
      <c r="R2" s="749" t="s">
        <v>29</v>
      </c>
    </row>
    <row r="3" spans="1:18" ht="20.25" customHeight="1" thickBot="1" x14ac:dyDescent="0.2">
      <c r="A3" s="753" t="s">
        <v>266</v>
      </c>
      <c r="B3" s="753" t="s">
        <v>625</v>
      </c>
      <c r="C3" s="753" t="s">
        <v>275</v>
      </c>
      <c r="E3" s="1029" t="s">
        <v>626</v>
      </c>
      <c r="F3" s="1030"/>
      <c r="G3" s="754" t="s">
        <v>625</v>
      </c>
      <c r="H3" s="754" t="s">
        <v>275</v>
      </c>
      <c r="J3" s="755" t="s">
        <v>2</v>
      </c>
      <c r="K3" s="756">
        <f>'2-Ⅰ'!B5</f>
        <v>156</v>
      </c>
      <c r="L3" s="756">
        <f>'2-Ⅰ'!F5</f>
        <v>11</v>
      </c>
      <c r="M3" s="756">
        <f>'2-Ⅰ'!G5</f>
        <v>26</v>
      </c>
      <c r="N3" s="750"/>
      <c r="O3" s="757" t="s">
        <v>300</v>
      </c>
      <c r="P3" s="758">
        <v>0</v>
      </c>
      <c r="Q3" s="758">
        <v>0</v>
      </c>
      <c r="R3" s="757"/>
    </row>
    <row r="4" spans="1:18" ht="20.25" customHeight="1" thickTop="1" x14ac:dyDescent="0.15">
      <c r="A4" s="759" t="s">
        <v>627</v>
      </c>
      <c r="B4" s="760">
        <f t="shared" ref="B4:B15" si="0">K3</f>
        <v>156</v>
      </c>
      <c r="C4" s="760">
        <f t="shared" ref="C4:C15" si="1">L3+M3</f>
        <v>37</v>
      </c>
      <c r="E4" s="1023" t="s">
        <v>628</v>
      </c>
      <c r="F4" s="1024"/>
      <c r="G4" s="761">
        <f t="shared" ref="G4:G12" si="2">P24</f>
        <v>1684</v>
      </c>
      <c r="H4" s="762">
        <f t="shared" ref="H4:H12" si="3">Q24+R24</f>
        <v>195</v>
      </c>
      <c r="J4" s="755" t="s">
        <v>3</v>
      </c>
      <c r="K4" s="756">
        <f>'2-Ⅰ'!B6</f>
        <v>330</v>
      </c>
      <c r="L4" s="756">
        <f>'2-Ⅰ'!F6</f>
        <v>28</v>
      </c>
      <c r="M4" s="756">
        <f>'2-Ⅰ'!G6</f>
        <v>29</v>
      </c>
      <c r="N4" s="750"/>
      <c r="O4" s="757" t="s">
        <v>301</v>
      </c>
      <c r="P4" s="758">
        <v>0</v>
      </c>
      <c r="Q4" s="758">
        <v>0</v>
      </c>
      <c r="R4" s="757"/>
    </row>
    <row r="5" spans="1:18" ht="20.25" customHeight="1" x14ac:dyDescent="0.15">
      <c r="A5" s="374" t="s">
        <v>3</v>
      </c>
      <c r="B5" s="761">
        <f t="shared" si="0"/>
        <v>330</v>
      </c>
      <c r="C5" s="761">
        <f t="shared" si="1"/>
        <v>57</v>
      </c>
      <c r="E5" s="1023" t="s">
        <v>629</v>
      </c>
      <c r="F5" s="1024"/>
      <c r="G5" s="761">
        <f t="shared" si="2"/>
        <v>1998</v>
      </c>
      <c r="H5" s="762">
        <f t="shared" si="3"/>
        <v>191</v>
      </c>
      <c r="J5" s="755" t="s">
        <v>4</v>
      </c>
      <c r="K5" s="756">
        <f>'2-Ⅰ'!B7</f>
        <v>557</v>
      </c>
      <c r="L5" s="756">
        <f>'2-Ⅰ'!F7</f>
        <v>21</v>
      </c>
      <c r="M5" s="756">
        <f>'2-Ⅰ'!G7</f>
        <v>74</v>
      </c>
      <c r="N5" s="750"/>
      <c r="O5" s="757" t="s">
        <v>302</v>
      </c>
      <c r="P5" s="758">
        <v>0</v>
      </c>
      <c r="Q5" s="758">
        <v>0</v>
      </c>
      <c r="R5" s="757"/>
    </row>
    <row r="6" spans="1:18" ht="20.25" customHeight="1" x14ac:dyDescent="0.15">
      <c r="A6" s="374" t="s">
        <v>4</v>
      </c>
      <c r="B6" s="761">
        <f t="shared" si="0"/>
        <v>557</v>
      </c>
      <c r="C6" s="761">
        <f t="shared" si="1"/>
        <v>95</v>
      </c>
      <c r="E6" s="1023" t="s">
        <v>630</v>
      </c>
      <c r="F6" s="1024"/>
      <c r="G6" s="761">
        <f t="shared" si="2"/>
        <v>1339</v>
      </c>
      <c r="H6" s="762">
        <f t="shared" si="3"/>
        <v>197</v>
      </c>
      <c r="J6" s="755" t="s">
        <v>5</v>
      </c>
      <c r="K6" s="756">
        <f>'2-Ⅰ'!B8</f>
        <v>1258</v>
      </c>
      <c r="L6" s="756">
        <f>'2-Ⅰ'!F8</f>
        <v>52</v>
      </c>
      <c r="M6" s="756">
        <f>'2-Ⅰ'!G8</f>
        <v>147</v>
      </c>
      <c r="N6" s="750"/>
      <c r="O6" s="757" t="s">
        <v>303</v>
      </c>
      <c r="P6" s="758">
        <v>0</v>
      </c>
      <c r="Q6" s="758">
        <v>0</v>
      </c>
      <c r="R6" s="757"/>
    </row>
    <row r="7" spans="1:18" ht="20.25" customHeight="1" x14ac:dyDescent="0.15">
      <c r="A7" s="374" t="s">
        <v>5</v>
      </c>
      <c r="B7" s="761">
        <f t="shared" si="0"/>
        <v>1258</v>
      </c>
      <c r="C7" s="761">
        <f t="shared" si="1"/>
        <v>199</v>
      </c>
      <c r="E7" s="1023" t="s">
        <v>631</v>
      </c>
      <c r="F7" s="1024"/>
      <c r="G7" s="761">
        <f t="shared" si="2"/>
        <v>1274</v>
      </c>
      <c r="H7" s="762">
        <f t="shared" si="3"/>
        <v>246</v>
      </c>
      <c r="J7" s="755" t="s">
        <v>6</v>
      </c>
      <c r="K7" s="756">
        <f>'2-Ⅰ'!B9</f>
        <v>2400</v>
      </c>
      <c r="L7" s="756">
        <f>'2-Ⅰ'!F9</f>
        <v>70</v>
      </c>
      <c r="M7" s="756">
        <f>'2-Ⅰ'!G9</f>
        <v>232</v>
      </c>
      <c r="N7" s="750"/>
      <c r="O7" s="757" t="s">
        <v>304</v>
      </c>
      <c r="P7" s="758">
        <v>0</v>
      </c>
      <c r="Q7" s="758">
        <v>0</v>
      </c>
      <c r="R7" s="757"/>
    </row>
    <row r="8" spans="1:18" ht="20.25" customHeight="1" x14ac:dyDescent="0.15">
      <c r="A8" s="374" t="s">
        <v>6</v>
      </c>
      <c r="B8" s="761">
        <f t="shared" si="0"/>
        <v>2400</v>
      </c>
      <c r="C8" s="761">
        <f t="shared" si="1"/>
        <v>302</v>
      </c>
      <c r="E8" s="1023" t="s">
        <v>632</v>
      </c>
      <c r="F8" s="1024"/>
      <c r="G8" s="761">
        <f t="shared" si="2"/>
        <v>1227</v>
      </c>
      <c r="H8" s="762">
        <f t="shared" si="3"/>
        <v>115</v>
      </c>
      <c r="J8" s="755" t="s">
        <v>7</v>
      </c>
      <c r="K8" s="756">
        <f>'2-Ⅰ'!B10</f>
        <v>2511</v>
      </c>
      <c r="L8" s="756">
        <f>'2-Ⅰ'!F10</f>
        <v>55</v>
      </c>
      <c r="M8" s="756">
        <f>'2-Ⅰ'!G10</f>
        <v>213</v>
      </c>
      <c r="N8" s="750"/>
      <c r="O8" s="757" t="s">
        <v>10</v>
      </c>
      <c r="P8" s="758">
        <v>0</v>
      </c>
      <c r="Q8" s="758">
        <v>0</v>
      </c>
      <c r="R8" s="757"/>
    </row>
    <row r="9" spans="1:18" ht="20.25" customHeight="1" x14ac:dyDescent="0.15">
      <c r="A9" s="374" t="s">
        <v>7</v>
      </c>
      <c r="B9" s="761">
        <f t="shared" si="0"/>
        <v>2511</v>
      </c>
      <c r="C9" s="761">
        <f t="shared" si="1"/>
        <v>268</v>
      </c>
      <c r="E9" s="1023" t="s">
        <v>633</v>
      </c>
      <c r="F9" s="1024"/>
      <c r="G9" s="761">
        <f t="shared" si="2"/>
        <v>5231</v>
      </c>
      <c r="H9" s="762">
        <f t="shared" si="3"/>
        <v>445</v>
      </c>
      <c r="J9" s="755" t="s">
        <v>8</v>
      </c>
      <c r="K9" s="756">
        <f>'2-Ⅰ'!B11</f>
        <v>3728</v>
      </c>
      <c r="L9" s="756">
        <f>'2-Ⅰ'!F11</f>
        <v>72</v>
      </c>
      <c r="M9" s="756">
        <f>'2-Ⅰ'!G11</f>
        <v>288</v>
      </c>
      <c r="N9" s="750"/>
      <c r="O9" s="757" t="s">
        <v>262</v>
      </c>
      <c r="P9" s="758">
        <v>0</v>
      </c>
      <c r="Q9" s="758">
        <v>0</v>
      </c>
      <c r="R9" s="757"/>
    </row>
    <row r="10" spans="1:18" ht="20.25" customHeight="1" x14ac:dyDescent="0.15">
      <c r="A10" s="374" t="s">
        <v>8</v>
      </c>
      <c r="B10" s="761">
        <f t="shared" si="0"/>
        <v>3728</v>
      </c>
      <c r="C10" s="761">
        <f t="shared" si="1"/>
        <v>360</v>
      </c>
      <c r="E10" s="1023" t="s">
        <v>485</v>
      </c>
      <c r="F10" s="1024"/>
      <c r="G10" s="761">
        <f t="shared" si="2"/>
        <v>161</v>
      </c>
      <c r="H10" s="762">
        <f t="shared" si="3"/>
        <v>56</v>
      </c>
      <c r="J10" s="755" t="s">
        <v>9</v>
      </c>
      <c r="K10" s="756">
        <f>'2-Ⅰ'!B12</f>
        <v>3314</v>
      </c>
      <c r="L10" s="756">
        <f>'2-Ⅰ'!F12</f>
        <v>59</v>
      </c>
      <c r="M10" s="756">
        <f>'2-Ⅰ'!G12</f>
        <v>229</v>
      </c>
      <c r="N10" s="750"/>
      <c r="O10" s="750"/>
      <c r="P10" s="750"/>
      <c r="Q10" s="750"/>
      <c r="R10" s="750"/>
    </row>
    <row r="11" spans="1:18" ht="20.25" customHeight="1" thickBot="1" x14ac:dyDescent="0.2">
      <c r="A11" s="374" t="s">
        <v>9</v>
      </c>
      <c r="B11" s="761">
        <f t="shared" si="0"/>
        <v>3314</v>
      </c>
      <c r="C11" s="761">
        <f t="shared" si="1"/>
        <v>288</v>
      </c>
      <c r="E11" s="1023" t="s">
        <v>486</v>
      </c>
      <c r="F11" s="1024"/>
      <c r="G11" s="761">
        <f t="shared" si="2"/>
        <v>2078</v>
      </c>
      <c r="H11" s="763">
        <f t="shared" si="3"/>
        <v>212</v>
      </c>
      <c r="J11" s="755" t="s">
        <v>10</v>
      </c>
      <c r="K11" s="756">
        <f>'2-Ⅰ'!B13</f>
        <v>738</v>
      </c>
      <c r="L11" s="756">
        <f>'2-Ⅰ'!F13</f>
        <v>11</v>
      </c>
      <c r="M11" s="756">
        <f>'2-Ⅰ'!G13</f>
        <v>40</v>
      </c>
      <c r="N11" s="750"/>
      <c r="O11" s="750"/>
      <c r="P11" s="750"/>
      <c r="Q11" s="750"/>
      <c r="R11" s="750"/>
    </row>
    <row r="12" spans="1:18" ht="20.25" customHeight="1" thickTop="1" thickBot="1" x14ac:dyDescent="0.2">
      <c r="A12" s="764" t="s">
        <v>10</v>
      </c>
      <c r="B12" s="765">
        <f t="shared" si="0"/>
        <v>738</v>
      </c>
      <c r="C12" s="765">
        <f t="shared" si="1"/>
        <v>51</v>
      </c>
      <c r="E12" s="766" t="s">
        <v>11</v>
      </c>
      <c r="F12" s="767"/>
      <c r="G12" s="844">
        <f t="shared" si="2"/>
        <v>14992</v>
      </c>
      <c r="H12" s="768">
        <f t="shared" si="3"/>
        <v>1657</v>
      </c>
      <c r="J12" s="755" t="s">
        <v>262</v>
      </c>
      <c r="K12" s="756">
        <f>'2-Ⅰ'!B14</f>
        <v>14992</v>
      </c>
      <c r="L12" s="756">
        <f>'2-Ⅰ'!F14</f>
        <v>379</v>
      </c>
      <c r="M12" s="756">
        <f>'2-Ⅰ'!G14</f>
        <v>1278</v>
      </c>
      <c r="N12" s="750"/>
      <c r="O12" s="750"/>
      <c r="P12" s="750"/>
      <c r="Q12" s="750"/>
      <c r="R12" s="750"/>
    </row>
    <row r="13" spans="1:18" ht="20.25" customHeight="1" thickTop="1" thickBot="1" x14ac:dyDescent="0.2">
      <c r="A13" s="769" t="s">
        <v>11</v>
      </c>
      <c r="B13" s="770">
        <f t="shared" si="0"/>
        <v>14992</v>
      </c>
      <c r="C13" s="770">
        <f t="shared" si="1"/>
        <v>1657</v>
      </c>
      <c r="E13" s="224"/>
      <c r="F13" s="224"/>
      <c r="G13" s="771"/>
      <c r="H13" s="772"/>
      <c r="J13" s="755" t="s">
        <v>306</v>
      </c>
      <c r="K13" s="756">
        <f>'2-Ⅰ'!B15</f>
        <v>5935</v>
      </c>
      <c r="L13" s="756">
        <f>'2-Ⅰ'!F15</f>
        <v>207</v>
      </c>
      <c r="M13" s="756">
        <f>'2-Ⅰ'!G15</f>
        <v>616</v>
      </c>
      <c r="N13" s="773"/>
      <c r="O13" s="773"/>
      <c r="P13" s="773"/>
      <c r="Q13" s="773"/>
      <c r="R13" s="773"/>
    </row>
    <row r="14" spans="1:18" ht="20.25" customHeight="1" thickTop="1" x14ac:dyDescent="0.15">
      <c r="A14" s="774" t="s">
        <v>634</v>
      </c>
      <c r="B14" s="775">
        <f t="shared" si="0"/>
        <v>5935</v>
      </c>
      <c r="C14" s="775">
        <f t="shared" si="1"/>
        <v>823</v>
      </c>
      <c r="E14" s="224"/>
      <c r="F14" s="224"/>
      <c r="G14" s="771"/>
      <c r="H14" s="772"/>
      <c r="J14" s="755" t="s">
        <v>307</v>
      </c>
      <c r="K14" s="756">
        <f>'2-Ⅰ'!B16</f>
        <v>9057</v>
      </c>
      <c r="L14" s="756">
        <f>'2-Ⅰ'!F16</f>
        <v>172</v>
      </c>
      <c r="M14" s="756">
        <f>'2-Ⅰ'!G16</f>
        <v>662</v>
      </c>
      <c r="N14" s="773"/>
      <c r="O14" s="773"/>
      <c r="P14" s="773"/>
      <c r="Q14" s="773"/>
      <c r="R14" s="773"/>
    </row>
    <row r="15" spans="1:18" ht="20.25" customHeight="1" x14ac:dyDescent="0.15">
      <c r="A15" s="374" t="s">
        <v>635</v>
      </c>
      <c r="B15" s="776">
        <f t="shared" si="0"/>
        <v>9057</v>
      </c>
      <c r="C15" s="776">
        <f t="shared" si="1"/>
        <v>834</v>
      </c>
      <c r="J15" s="773"/>
      <c r="K15" s="773"/>
      <c r="L15" s="773"/>
      <c r="M15" s="773"/>
      <c r="N15" s="773"/>
      <c r="O15" s="773"/>
      <c r="P15" s="773"/>
      <c r="Q15" s="773"/>
      <c r="R15" s="773"/>
    </row>
    <row r="16" spans="1:18" ht="20.25" customHeight="1" x14ac:dyDescent="0.15"/>
    <row r="17" spans="1:18" ht="20.25" customHeight="1" x14ac:dyDescent="0.15"/>
    <row r="18" spans="1:18" ht="20.25" customHeight="1" x14ac:dyDescent="0.15">
      <c r="A18" s="777" t="s">
        <v>299</v>
      </c>
      <c r="B18" s="778" t="s">
        <v>625</v>
      </c>
      <c r="C18" s="778" t="s">
        <v>275</v>
      </c>
      <c r="E18" s="1031" t="s">
        <v>81</v>
      </c>
      <c r="F18" s="1032"/>
      <c r="G18" s="754" t="s">
        <v>625</v>
      </c>
      <c r="H18" s="754" t="s">
        <v>275</v>
      </c>
    </row>
    <row r="19" spans="1:18" ht="20.25" customHeight="1" x14ac:dyDescent="0.15">
      <c r="A19" s="374" t="s">
        <v>636</v>
      </c>
      <c r="B19" s="761">
        <f>SUM(K24:K27)</f>
        <v>6228</v>
      </c>
      <c r="C19" s="761">
        <f>SUM(L24:M27)</f>
        <v>1136</v>
      </c>
      <c r="E19" s="1015" t="s">
        <v>120</v>
      </c>
      <c r="F19" s="1016"/>
      <c r="G19" s="779">
        <f>K43</f>
        <v>4235</v>
      </c>
      <c r="H19" s="776">
        <f>SUM(L43:M43)</f>
        <v>328</v>
      </c>
    </row>
    <row r="20" spans="1:18" ht="20.25" customHeight="1" x14ac:dyDescent="0.15">
      <c r="A20" s="374" t="s">
        <v>637</v>
      </c>
      <c r="B20" s="761">
        <f>SUM(K28:K32)</f>
        <v>4634</v>
      </c>
      <c r="C20" s="761">
        <f>SUM(L28:M32)</f>
        <v>315</v>
      </c>
      <c r="E20" s="780"/>
      <c r="F20" s="781" t="s">
        <v>121</v>
      </c>
      <c r="G20" s="847">
        <f>K44</f>
        <v>2137</v>
      </c>
      <c r="H20" s="847">
        <f t="shared" ref="H20:H33" si="4">SUM(L44:M44)</f>
        <v>154</v>
      </c>
    </row>
    <row r="21" spans="1:18" ht="20.25" customHeight="1" x14ac:dyDescent="0.15">
      <c r="A21" s="374" t="s">
        <v>638</v>
      </c>
      <c r="B21" s="761">
        <f>SUM(K33:K37)</f>
        <v>1909</v>
      </c>
      <c r="C21" s="761">
        <f>SUM(L33:M37)</f>
        <v>102</v>
      </c>
      <c r="E21" s="780"/>
      <c r="F21" s="783" t="s">
        <v>106</v>
      </c>
      <c r="G21" s="848">
        <f t="shared" ref="G21:G33" si="5">K45</f>
        <v>322</v>
      </c>
      <c r="H21" s="848">
        <f t="shared" si="4"/>
        <v>18</v>
      </c>
    </row>
    <row r="22" spans="1:18" ht="20.25" customHeight="1" x14ac:dyDescent="0.15">
      <c r="A22" s="374" t="s">
        <v>639</v>
      </c>
      <c r="B22" s="761">
        <f>K38</f>
        <v>1395</v>
      </c>
      <c r="C22" s="761">
        <f>SUM(L38:M38)</f>
        <v>68</v>
      </c>
      <c r="E22" s="784"/>
      <c r="F22" s="785" t="s">
        <v>19</v>
      </c>
      <c r="G22" s="849">
        <f t="shared" si="5"/>
        <v>1776</v>
      </c>
      <c r="H22" s="849">
        <f t="shared" si="4"/>
        <v>156</v>
      </c>
    </row>
    <row r="23" spans="1:18" ht="20.25" customHeight="1" thickBot="1" x14ac:dyDescent="0.2">
      <c r="A23" s="764" t="s">
        <v>640</v>
      </c>
      <c r="B23" s="786">
        <f>K39</f>
        <v>826</v>
      </c>
      <c r="C23" s="786">
        <f>SUM(L39:M39)</f>
        <v>36</v>
      </c>
      <c r="E23" s="1015" t="s">
        <v>251</v>
      </c>
      <c r="F23" s="1016"/>
      <c r="G23" s="776">
        <f t="shared" si="5"/>
        <v>813</v>
      </c>
      <c r="H23" s="787">
        <f t="shared" si="4"/>
        <v>233</v>
      </c>
      <c r="J23" s="749"/>
      <c r="K23" s="749" t="s">
        <v>646</v>
      </c>
      <c r="L23" s="788" t="s">
        <v>28</v>
      </c>
      <c r="M23" s="788" t="s">
        <v>29</v>
      </c>
      <c r="N23" s="750"/>
      <c r="O23" s="751"/>
      <c r="P23" s="752" t="s">
        <v>646</v>
      </c>
      <c r="Q23" s="749" t="s">
        <v>28</v>
      </c>
      <c r="R23" s="749" t="s">
        <v>29</v>
      </c>
    </row>
    <row r="24" spans="1:18" ht="20.25" customHeight="1" thickTop="1" x14ac:dyDescent="0.15">
      <c r="A24" s="789" t="s">
        <v>11</v>
      </c>
      <c r="B24" s="790">
        <f>K40</f>
        <v>14992</v>
      </c>
      <c r="C24" s="790">
        <f>SUM(L40:M40)</f>
        <v>1657</v>
      </c>
      <c r="E24" s="1015" t="s">
        <v>73</v>
      </c>
      <c r="F24" s="1016"/>
      <c r="G24" s="776">
        <f t="shared" si="5"/>
        <v>7329</v>
      </c>
      <c r="H24" s="787">
        <f t="shared" si="4"/>
        <v>629</v>
      </c>
      <c r="J24" s="755" t="s">
        <v>60</v>
      </c>
      <c r="K24" s="756">
        <f>'２-Ⅳ'!B5</f>
        <v>1712</v>
      </c>
      <c r="L24" s="756">
        <f>'２-Ⅳ'!F5</f>
        <v>114</v>
      </c>
      <c r="M24" s="756">
        <f>'２-Ⅳ'!G5</f>
        <v>225</v>
      </c>
      <c r="N24" s="750"/>
      <c r="O24" s="757" t="s">
        <v>387</v>
      </c>
      <c r="P24" s="756">
        <f>'6-Ⅰ⑤'!B16</f>
        <v>1684</v>
      </c>
      <c r="Q24" s="756">
        <f>'6-Ⅰ⑤'!B4</f>
        <v>46</v>
      </c>
      <c r="R24" s="756">
        <f>'6-Ⅰ⑤'!B6</f>
        <v>149</v>
      </c>
    </row>
    <row r="25" spans="1:18" ht="20.25" customHeight="1" x14ac:dyDescent="0.15">
      <c r="A25" s="224"/>
      <c r="B25" s="224"/>
      <c r="C25" s="791"/>
      <c r="E25" s="1015" t="s">
        <v>76</v>
      </c>
      <c r="F25" s="1016"/>
      <c r="G25" s="776">
        <f t="shared" si="5"/>
        <v>1533</v>
      </c>
      <c r="H25" s="787">
        <f t="shared" si="4"/>
        <v>297</v>
      </c>
      <c r="J25" s="755" t="s">
        <v>207</v>
      </c>
      <c r="K25" s="756">
        <f>'２-Ⅳ'!B6</f>
        <v>2041</v>
      </c>
      <c r="L25" s="756">
        <f>'２-Ⅳ'!F6</f>
        <v>127</v>
      </c>
      <c r="M25" s="756">
        <f>'２-Ⅳ'!G6</f>
        <v>344</v>
      </c>
      <c r="N25" s="750"/>
      <c r="O25" s="757" t="s">
        <v>388</v>
      </c>
      <c r="P25" s="756">
        <f>'6-Ⅰ⑤'!C16</f>
        <v>1998</v>
      </c>
      <c r="Q25" s="756">
        <f>'6-Ⅰ⑤'!C4</f>
        <v>80</v>
      </c>
      <c r="R25" s="756">
        <f>'6-Ⅰ⑤'!C6</f>
        <v>111</v>
      </c>
    </row>
    <row r="26" spans="1:18" ht="20.25" customHeight="1" x14ac:dyDescent="0.15">
      <c r="E26" s="1015" t="s">
        <v>24</v>
      </c>
      <c r="F26" s="1016"/>
      <c r="G26" s="776">
        <f t="shared" si="5"/>
        <v>272</v>
      </c>
      <c r="H26" s="787">
        <f t="shared" si="4"/>
        <v>77</v>
      </c>
      <c r="J26" s="755" t="s">
        <v>208</v>
      </c>
      <c r="K26" s="756">
        <f>'２-Ⅳ'!B7</f>
        <v>1041</v>
      </c>
      <c r="L26" s="756">
        <f>'２-Ⅳ'!F7</f>
        <v>44</v>
      </c>
      <c r="M26" s="756">
        <f>'２-Ⅳ'!G7</f>
        <v>130</v>
      </c>
      <c r="N26" s="750"/>
      <c r="O26" s="757" t="s">
        <v>389</v>
      </c>
      <c r="P26" s="756">
        <f>'6-Ⅰ⑤'!D16</f>
        <v>1339</v>
      </c>
      <c r="Q26" s="756">
        <f>'6-Ⅰ⑤'!D4</f>
        <v>60</v>
      </c>
      <c r="R26" s="756">
        <f>'6-Ⅰ⑤'!D6</f>
        <v>137</v>
      </c>
    </row>
    <row r="27" spans="1:18" ht="20.25" customHeight="1" thickBot="1" x14ac:dyDescent="0.2">
      <c r="A27" s="753" t="s">
        <v>641</v>
      </c>
      <c r="B27" s="753" t="s">
        <v>625</v>
      </c>
      <c r="C27" s="753" t="s">
        <v>1</v>
      </c>
      <c r="E27" s="1015" t="s">
        <v>25</v>
      </c>
      <c r="F27" s="1016"/>
      <c r="G27" s="776">
        <f t="shared" si="5"/>
        <v>33</v>
      </c>
      <c r="H27" s="787">
        <f t="shared" si="4"/>
        <v>4</v>
      </c>
      <c r="J27" s="755" t="s">
        <v>209</v>
      </c>
      <c r="K27" s="756">
        <f>'２-Ⅳ'!B8</f>
        <v>1434</v>
      </c>
      <c r="L27" s="756">
        <f>'２-Ⅳ'!F8</f>
        <v>31</v>
      </c>
      <c r="M27" s="756">
        <f>'２-Ⅳ'!G8</f>
        <v>121</v>
      </c>
      <c r="N27" s="750"/>
      <c r="O27" s="757" t="s">
        <v>390</v>
      </c>
      <c r="P27" s="756">
        <f>'6-Ⅰ⑤'!E16</f>
        <v>1274</v>
      </c>
      <c r="Q27" s="756">
        <f>'6-Ⅰ⑤'!E4</f>
        <v>58</v>
      </c>
      <c r="R27" s="756">
        <f>'6-Ⅰ⑤'!E6</f>
        <v>188</v>
      </c>
    </row>
    <row r="28" spans="1:18" ht="20.25" customHeight="1" thickTop="1" x14ac:dyDescent="0.15">
      <c r="A28" s="774" t="s">
        <v>276</v>
      </c>
      <c r="B28" s="792">
        <f>P43</f>
        <v>379</v>
      </c>
      <c r="C28" s="827">
        <f>Q43</f>
        <v>2.5280149413020276E-2</v>
      </c>
      <c r="E28" s="1015" t="s">
        <v>256</v>
      </c>
      <c r="F28" s="1016"/>
      <c r="G28" s="776">
        <f t="shared" si="5"/>
        <v>54</v>
      </c>
      <c r="H28" s="787">
        <f t="shared" si="4"/>
        <v>14</v>
      </c>
      <c r="J28" s="755" t="s">
        <v>210</v>
      </c>
      <c r="K28" s="756">
        <f>'２-Ⅳ'!B9</f>
        <v>921</v>
      </c>
      <c r="L28" s="756">
        <f>'２-Ⅳ'!F9</f>
        <v>10</v>
      </c>
      <c r="M28" s="756">
        <f>'２-Ⅳ'!G9</f>
        <v>54</v>
      </c>
      <c r="N28" s="750"/>
      <c r="O28" s="757" t="s">
        <v>391</v>
      </c>
      <c r="P28" s="756">
        <f>'6-Ⅰ⑤'!F16</f>
        <v>1227</v>
      </c>
      <c r="Q28" s="756">
        <f>'6-Ⅰ⑤'!F4</f>
        <v>17</v>
      </c>
      <c r="R28" s="756">
        <f>'6-Ⅰ⑤'!F6</f>
        <v>98</v>
      </c>
    </row>
    <row r="29" spans="1:18" ht="20.25" customHeight="1" x14ac:dyDescent="0.15">
      <c r="A29" s="374" t="s">
        <v>277</v>
      </c>
      <c r="B29" s="761">
        <f t="shared" ref="B29:C34" si="6">P44</f>
        <v>1278</v>
      </c>
      <c r="C29" s="828">
        <f t="shared" si="6"/>
        <v>8.5245464247598726E-2</v>
      </c>
      <c r="E29" s="1015" t="s">
        <v>257</v>
      </c>
      <c r="F29" s="1016"/>
      <c r="G29" s="776">
        <f t="shared" si="5"/>
        <v>288</v>
      </c>
      <c r="H29" s="787">
        <f t="shared" si="4"/>
        <v>24</v>
      </c>
      <c r="J29" s="755" t="s">
        <v>211</v>
      </c>
      <c r="K29" s="756">
        <f>'２-Ⅳ'!B10</f>
        <v>759</v>
      </c>
      <c r="L29" s="756">
        <f>'２-Ⅳ'!F10</f>
        <v>4</v>
      </c>
      <c r="M29" s="756">
        <f>'２-Ⅳ'!G10</f>
        <v>56</v>
      </c>
      <c r="N29" s="750"/>
      <c r="O29" s="757" t="s">
        <v>392</v>
      </c>
      <c r="P29" s="756">
        <f>'6-Ⅰ⑤'!G16</f>
        <v>5231</v>
      </c>
      <c r="Q29" s="756">
        <f>'6-Ⅰ⑤'!G4</f>
        <v>54</v>
      </c>
      <c r="R29" s="756">
        <f>'6-Ⅰ⑤'!G6</f>
        <v>391</v>
      </c>
    </row>
    <row r="30" spans="1:18" ht="20.25" customHeight="1" x14ac:dyDescent="0.15">
      <c r="A30" s="374" t="s">
        <v>491</v>
      </c>
      <c r="B30" s="761">
        <f t="shared" si="6"/>
        <v>2959</v>
      </c>
      <c r="C30" s="828">
        <f t="shared" si="6"/>
        <v>0.19737193169690501</v>
      </c>
      <c r="E30" s="1015" t="s">
        <v>83</v>
      </c>
      <c r="F30" s="1016"/>
      <c r="G30" s="776">
        <f t="shared" si="5"/>
        <v>165</v>
      </c>
      <c r="H30" s="787">
        <f t="shared" si="4"/>
        <v>27</v>
      </c>
      <c r="J30" s="755" t="s">
        <v>212</v>
      </c>
      <c r="K30" s="756">
        <f>'２-Ⅳ'!B11</f>
        <v>1261</v>
      </c>
      <c r="L30" s="756">
        <f>'２-Ⅳ'!F11</f>
        <v>11</v>
      </c>
      <c r="M30" s="756">
        <f>'２-Ⅳ'!G11</f>
        <v>65</v>
      </c>
      <c r="N30" s="750"/>
      <c r="O30" s="757" t="s">
        <v>393</v>
      </c>
      <c r="P30" s="756">
        <f>'6-Ⅰ⑤'!H16</f>
        <v>161</v>
      </c>
      <c r="Q30" s="756">
        <f>'6-Ⅰ⑤'!H4</f>
        <v>40</v>
      </c>
      <c r="R30" s="756">
        <f>'6-Ⅰ⑤'!H6</f>
        <v>16</v>
      </c>
    </row>
    <row r="31" spans="1:18" ht="20.25" customHeight="1" x14ac:dyDescent="0.15">
      <c r="A31" s="374" t="s">
        <v>492</v>
      </c>
      <c r="B31" s="761">
        <f t="shared" si="6"/>
        <v>5648</v>
      </c>
      <c r="C31" s="828">
        <f t="shared" si="6"/>
        <v>0.37673425827107793</v>
      </c>
      <c r="E31" s="1015" t="s">
        <v>258</v>
      </c>
      <c r="F31" s="1016"/>
      <c r="G31" s="776">
        <f t="shared" si="5"/>
        <v>43</v>
      </c>
      <c r="H31" s="787">
        <f t="shared" si="4"/>
        <v>8</v>
      </c>
      <c r="J31" s="755" t="s">
        <v>213</v>
      </c>
      <c r="K31" s="756">
        <f>'２-Ⅳ'!B12</f>
        <v>935</v>
      </c>
      <c r="L31" s="756">
        <f>'２-Ⅳ'!F12</f>
        <v>12</v>
      </c>
      <c r="M31" s="756">
        <f>'２-Ⅳ'!G12</f>
        <v>59</v>
      </c>
      <c r="N31" s="750"/>
      <c r="O31" s="757" t="s">
        <v>394</v>
      </c>
      <c r="P31" s="756">
        <f>'6-Ⅰ⑤'!I16</f>
        <v>2078</v>
      </c>
      <c r="Q31" s="756">
        <f>'6-Ⅰ⑤'!I4</f>
        <v>24</v>
      </c>
      <c r="R31" s="756">
        <f>'6-Ⅰ⑤'!I6</f>
        <v>188</v>
      </c>
    </row>
    <row r="32" spans="1:18" ht="20.25" customHeight="1" x14ac:dyDescent="0.15">
      <c r="A32" s="374" t="s">
        <v>493</v>
      </c>
      <c r="B32" s="761">
        <f t="shared" si="6"/>
        <v>3949</v>
      </c>
      <c r="C32" s="828">
        <f t="shared" si="6"/>
        <v>0.26340715048025615</v>
      </c>
      <c r="E32" s="1015" t="s">
        <v>123</v>
      </c>
      <c r="F32" s="1016"/>
      <c r="G32" s="776">
        <f t="shared" si="5"/>
        <v>48</v>
      </c>
      <c r="H32" s="787">
        <f t="shared" si="4"/>
        <v>4</v>
      </c>
      <c r="J32" s="755" t="s">
        <v>214</v>
      </c>
      <c r="K32" s="756">
        <f>'２-Ⅳ'!B13</f>
        <v>758</v>
      </c>
      <c r="L32" s="756">
        <f>'２-Ⅳ'!F13</f>
        <v>5</v>
      </c>
      <c r="M32" s="756">
        <f>'２-Ⅳ'!G13</f>
        <v>39</v>
      </c>
      <c r="N32" s="750"/>
      <c r="O32" s="757" t="s">
        <v>262</v>
      </c>
      <c r="P32" s="793">
        <f>'6-Ⅰ⑤'!J16</f>
        <v>14992</v>
      </c>
      <c r="Q32" s="756">
        <f>'6-Ⅰ⑤'!J4</f>
        <v>379</v>
      </c>
      <c r="R32" s="756">
        <f>'6-Ⅰ⑤'!J6</f>
        <v>1278</v>
      </c>
    </row>
    <row r="33" spans="1:18" ht="20.25" customHeight="1" thickBot="1" x14ac:dyDescent="0.2">
      <c r="A33" s="764" t="s">
        <v>494</v>
      </c>
      <c r="B33" s="765">
        <f t="shared" si="6"/>
        <v>779</v>
      </c>
      <c r="C33" s="829">
        <f t="shared" si="6"/>
        <v>5.1961045891141942E-2</v>
      </c>
      <c r="E33" s="1017" t="s">
        <v>376</v>
      </c>
      <c r="F33" s="1018"/>
      <c r="G33" s="776">
        <f t="shared" si="5"/>
        <v>178</v>
      </c>
      <c r="H33" s="787">
        <f t="shared" si="4"/>
        <v>12</v>
      </c>
      <c r="J33" s="755" t="s">
        <v>215</v>
      </c>
      <c r="K33" s="756">
        <f>'２-Ⅳ'!B14</f>
        <v>577</v>
      </c>
      <c r="L33" s="756">
        <f>'２-Ⅳ'!F14</f>
        <v>3</v>
      </c>
      <c r="M33" s="756">
        <f>'２-Ⅳ'!G14</f>
        <v>34</v>
      </c>
      <c r="N33" s="750"/>
      <c r="O33" s="750"/>
      <c r="P33" s="750"/>
      <c r="Q33" s="750"/>
      <c r="R33" s="750"/>
    </row>
    <row r="34" spans="1:18" ht="20.25" customHeight="1" thickTop="1" thickBot="1" x14ac:dyDescent="0.2">
      <c r="A34" s="789" t="s">
        <v>11</v>
      </c>
      <c r="B34" s="794">
        <f t="shared" si="6"/>
        <v>14992</v>
      </c>
      <c r="C34" s="795">
        <f t="shared" si="6"/>
        <v>1</v>
      </c>
      <c r="E34" s="1019" t="s">
        <v>642</v>
      </c>
      <c r="F34" s="1020"/>
      <c r="G34" s="830">
        <f t="shared" ref="G34" si="7">K58</f>
        <v>1</v>
      </c>
      <c r="H34" s="831">
        <f t="shared" ref="H34" si="8">SUM(L58:M58)</f>
        <v>0</v>
      </c>
      <c r="J34" s="755" t="s">
        <v>216</v>
      </c>
      <c r="K34" s="756">
        <f>'２-Ⅳ'!B15</f>
        <v>397</v>
      </c>
      <c r="L34" s="756">
        <f>'２-Ⅳ'!F15</f>
        <v>1</v>
      </c>
      <c r="M34" s="756">
        <f>'２-Ⅳ'!G15</f>
        <v>20</v>
      </c>
      <c r="N34" s="750"/>
      <c r="O34" s="750"/>
      <c r="P34" s="750"/>
      <c r="Q34" s="750"/>
      <c r="R34" s="750"/>
    </row>
    <row r="35" spans="1:18" ht="20.25" customHeight="1" thickTop="1" x14ac:dyDescent="0.15">
      <c r="A35" s="224"/>
      <c r="B35" s="224"/>
      <c r="C35" s="791"/>
      <c r="E35" s="796" t="s">
        <v>11</v>
      </c>
      <c r="F35" s="797"/>
      <c r="G35" s="798">
        <f t="shared" ref="G35" si="9">K59</f>
        <v>14992</v>
      </c>
      <c r="H35" s="799">
        <f t="shared" ref="H35" si="10">SUM(L59:M59)</f>
        <v>1657</v>
      </c>
      <c r="J35" s="755" t="s">
        <v>217</v>
      </c>
      <c r="K35" s="756">
        <f>'２-Ⅳ'!B16</f>
        <v>367</v>
      </c>
      <c r="L35" s="756">
        <f>'２-Ⅳ'!F16</f>
        <v>2</v>
      </c>
      <c r="M35" s="756">
        <f>'２-Ⅳ'!G16</f>
        <v>21</v>
      </c>
      <c r="N35" s="750"/>
      <c r="O35" s="750"/>
      <c r="P35" s="750"/>
      <c r="Q35" s="750"/>
      <c r="R35" s="750"/>
    </row>
    <row r="36" spans="1:18" ht="20.25" customHeight="1" x14ac:dyDescent="0.15">
      <c r="J36" s="755" t="s">
        <v>218</v>
      </c>
      <c r="K36" s="756">
        <f>'２-Ⅳ'!B17</f>
        <v>311</v>
      </c>
      <c r="L36" s="756">
        <f>'２-Ⅳ'!F17</f>
        <v>3</v>
      </c>
      <c r="M36" s="756">
        <f>'２-Ⅳ'!G17</f>
        <v>11</v>
      </c>
      <c r="N36" s="750"/>
      <c r="O36" s="750"/>
      <c r="P36" s="750"/>
      <c r="Q36" s="750"/>
      <c r="R36" s="750"/>
    </row>
    <row r="37" spans="1:18" ht="20.25" customHeight="1" x14ac:dyDescent="0.15">
      <c r="A37" s="746" t="s">
        <v>644</v>
      </c>
      <c r="J37" s="755" t="s">
        <v>219</v>
      </c>
      <c r="K37" s="756">
        <f>'２-Ⅳ'!B18</f>
        <v>257</v>
      </c>
      <c r="L37" s="756">
        <f>'２-Ⅳ'!F18</f>
        <v>1</v>
      </c>
      <c r="M37" s="756">
        <f>'２-Ⅳ'!G18</f>
        <v>6</v>
      </c>
      <c r="N37" s="750"/>
      <c r="O37" s="750"/>
      <c r="P37" s="750"/>
      <c r="Q37" s="750"/>
      <c r="R37" s="750"/>
    </row>
    <row r="38" spans="1:18" ht="20.25" customHeight="1" x14ac:dyDescent="0.15">
      <c r="J38" s="755" t="s">
        <v>220</v>
      </c>
      <c r="K38" s="756">
        <f>'２-Ⅳ'!B19</f>
        <v>1395</v>
      </c>
      <c r="L38" s="756">
        <f>'２-Ⅳ'!F19</f>
        <v>5</v>
      </c>
      <c r="M38" s="756">
        <f>'２-Ⅳ'!G19</f>
        <v>63</v>
      </c>
      <c r="N38" s="750"/>
      <c r="O38" s="750"/>
      <c r="P38" s="750"/>
      <c r="Q38" s="750"/>
      <c r="R38" s="750"/>
    </row>
    <row r="39" spans="1:18" ht="20.25" customHeight="1" thickBot="1" x14ac:dyDescent="0.2">
      <c r="A39" s="814" t="s">
        <v>266</v>
      </c>
      <c r="B39" s="814" t="s">
        <v>625</v>
      </c>
      <c r="C39" s="814" t="s">
        <v>275</v>
      </c>
      <c r="E39" s="1027" t="s">
        <v>626</v>
      </c>
      <c r="F39" s="1028"/>
      <c r="G39" s="815" t="s">
        <v>625</v>
      </c>
      <c r="H39" s="815" t="s">
        <v>275</v>
      </c>
      <c r="J39" s="755" t="s">
        <v>61</v>
      </c>
      <c r="K39" s="756">
        <f>'２-Ⅳ'!B20</f>
        <v>826</v>
      </c>
      <c r="L39" s="756">
        <f>'２-Ⅳ'!F20</f>
        <v>6</v>
      </c>
      <c r="M39" s="756">
        <f>'２-Ⅳ'!G20</f>
        <v>30</v>
      </c>
      <c r="N39" s="750"/>
      <c r="O39" s="750"/>
      <c r="P39" s="750"/>
      <c r="Q39" s="750"/>
      <c r="R39" s="750"/>
    </row>
    <row r="40" spans="1:18" ht="20.25" customHeight="1" thickTop="1" x14ac:dyDescent="0.15">
      <c r="A40" s="759" t="s">
        <v>627</v>
      </c>
      <c r="B40" s="760">
        <f t="shared" ref="B40:B51" si="11">K65</f>
        <v>6</v>
      </c>
      <c r="C40" s="760">
        <f t="shared" ref="C40:C51" si="12">L65+M65</f>
        <v>2</v>
      </c>
      <c r="E40" s="1023" t="s">
        <v>628</v>
      </c>
      <c r="F40" s="1024"/>
      <c r="G40" s="761">
        <f t="shared" ref="G40:G48" si="13">P86</f>
        <v>1013</v>
      </c>
      <c r="H40" s="762">
        <f t="shared" ref="H40:H48" si="14">Q86+R86</f>
        <v>87</v>
      </c>
      <c r="J40" s="755" t="s">
        <v>262</v>
      </c>
      <c r="K40" s="756">
        <f>'２-Ⅳ'!B21</f>
        <v>14992</v>
      </c>
      <c r="L40" s="756">
        <f>'２-Ⅳ'!F21</f>
        <v>379</v>
      </c>
      <c r="M40" s="756">
        <f>'２-Ⅳ'!G21</f>
        <v>1278</v>
      </c>
      <c r="N40" s="750"/>
      <c r="O40" s="750"/>
      <c r="P40" s="750"/>
      <c r="Q40" s="750"/>
      <c r="R40" s="750"/>
    </row>
    <row r="41" spans="1:18" ht="20.25" customHeight="1" x14ac:dyDescent="0.15">
      <c r="A41" s="374" t="s">
        <v>3</v>
      </c>
      <c r="B41" s="761">
        <f t="shared" si="11"/>
        <v>48</v>
      </c>
      <c r="C41" s="761">
        <f t="shared" si="12"/>
        <v>5</v>
      </c>
      <c r="E41" s="1023" t="s">
        <v>629</v>
      </c>
      <c r="F41" s="1024"/>
      <c r="G41" s="761">
        <f t="shared" si="13"/>
        <v>1114</v>
      </c>
      <c r="H41" s="762">
        <f t="shared" si="14"/>
        <v>38</v>
      </c>
      <c r="J41" s="750"/>
      <c r="K41" s="750"/>
      <c r="L41" s="750"/>
      <c r="M41" s="750"/>
      <c r="N41" s="750"/>
      <c r="O41" s="750"/>
      <c r="P41" s="750"/>
      <c r="Q41" s="750"/>
      <c r="R41" s="750"/>
    </row>
    <row r="42" spans="1:18" ht="20.25" customHeight="1" thickBot="1" x14ac:dyDescent="0.2">
      <c r="A42" s="374" t="s">
        <v>4</v>
      </c>
      <c r="B42" s="761">
        <f t="shared" si="11"/>
        <v>224</v>
      </c>
      <c r="C42" s="761">
        <f t="shared" si="12"/>
        <v>16</v>
      </c>
      <c r="E42" s="1023" t="s">
        <v>630</v>
      </c>
      <c r="F42" s="1024"/>
      <c r="G42" s="761">
        <f t="shared" si="13"/>
        <v>730</v>
      </c>
      <c r="H42" s="762">
        <f t="shared" si="14"/>
        <v>63</v>
      </c>
      <c r="J42" s="800" t="s">
        <v>647</v>
      </c>
      <c r="K42" s="749" t="s">
        <v>646</v>
      </c>
      <c r="L42" s="788" t="s">
        <v>28</v>
      </c>
      <c r="M42" s="788" t="s">
        <v>29</v>
      </c>
      <c r="N42" s="750"/>
      <c r="O42" s="801" t="s">
        <v>648</v>
      </c>
      <c r="P42" s="801" t="s">
        <v>649</v>
      </c>
      <c r="Q42" s="801" t="s">
        <v>226</v>
      </c>
      <c r="R42" s="750"/>
    </row>
    <row r="43" spans="1:18" ht="20.25" customHeight="1" thickTop="1" x14ac:dyDescent="0.15">
      <c r="A43" s="374" t="s">
        <v>5</v>
      </c>
      <c r="B43" s="761">
        <f t="shared" si="11"/>
        <v>653</v>
      </c>
      <c r="C43" s="761">
        <f t="shared" si="12"/>
        <v>46</v>
      </c>
      <c r="E43" s="1023" t="s">
        <v>631</v>
      </c>
      <c r="F43" s="1024"/>
      <c r="G43" s="761">
        <f t="shared" si="13"/>
        <v>567</v>
      </c>
      <c r="H43" s="762">
        <f t="shared" si="14"/>
        <v>83</v>
      </c>
      <c r="J43" s="802" t="s">
        <v>408</v>
      </c>
      <c r="K43" s="756">
        <f>'２-Ⅲ'!C5</f>
        <v>4235</v>
      </c>
      <c r="L43" s="756">
        <f>'２-Ⅲ'!H5</f>
        <v>68</v>
      </c>
      <c r="M43" s="756">
        <f>'２-Ⅲ'!I5</f>
        <v>260</v>
      </c>
      <c r="N43" s="750"/>
      <c r="O43" s="803" t="s">
        <v>28</v>
      </c>
      <c r="P43" s="804">
        <f>'２-Ⅴ'!B5</f>
        <v>379</v>
      </c>
      <c r="Q43" s="805">
        <f>'２-Ⅴ'!C5</f>
        <v>2.5280149413020276E-2</v>
      </c>
      <c r="R43" s="750"/>
    </row>
    <row r="44" spans="1:18" ht="20.25" customHeight="1" x14ac:dyDescent="0.15">
      <c r="A44" s="374" t="s">
        <v>6</v>
      </c>
      <c r="B44" s="761">
        <f t="shared" si="11"/>
        <v>1501</v>
      </c>
      <c r="C44" s="761">
        <f t="shared" si="12"/>
        <v>88</v>
      </c>
      <c r="E44" s="1023" t="s">
        <v>632</v>
      </c>
      <c r="F44" s="1024"/>
      <c r="G44" s="761">
        <f t="shared" si="13"/>
        <v>757</v>
      </c>
      <c r="H44" s="762">
        <f t="shared" si="14"/>
        <v>44</v>
      </c>
      <c r="J44" s="806" t="s">
        <v>409</v>
      </c>
      <c r="K44" s="756">
        <f>'２-Ⅲ'!C6</f>
        <v>2137</v>
      </c>
      <c r="L44" s="756">
        <f>'２-Ⅲ'!H6</f>
        <v>37</v>
      </c>
      <c r="M44" s="756">
        <f>'２-Ⅲ'!I6</f>
        <v>117</v>
      </c>
      <c r="N44" s="750"/>
      <c r="O44" s="802" t="s">
        <v>29</v>
      </c>
      <c r="P44" s="807">
        <f>'２-Ⅴ'!B6</f>
        <v>1278</v>
      </c>
      <c r="Q44" s="808">
        <f>'２-Ⅴ'!C6</f>
        <v>8.5245464247598726E-2</v>
      </c>
      <c r="R44" s="750"/>
    </row>
    <row r="45" spans="1:18" ht="20.25" customHeight="1" x14ac:dyDescent="0.15">
      <c r="A45" s="374" t="s">
        <v>7</v>
      </c>
      <c r="B45" s="761">
        <f t="shared" si="11"/>
        <v>1664</v>
      </c>
      <c r="C45" s="761">
        <f t="shared" si="12"/>
        <v>106</v>
      </c>
      <c r="E45" s="1023" t="s">
        <v>633</v>
      </c>
      <c r="F45" s="1024"/>
      <c r="G45" s="761">
        <f t="shared" si="13"/>
        <v>3509</v>
      </c>
      <c r="H45" s="762">
        <f t="shared" si="14"/>
        <v>171</v>
      </c>
      <c r="J45" s="806" t="s">
        <v>410</v>
      </c>
      <c r="K45" s="756">
        <f>'２-Ⅲ'!C7</f>
        <v>322</v>
      </c>
      <c r="L45" s="756">
        <f>'２-Ⅲ'!H7</f>
        <v>1</v>
      </c>
      <c r="M45" s="756">
        <f>'２-Ⅲ'!I7</f>
        <v>17</v>
      </c>
      <c r="N45" s="750"/>
      <c r="O45" s="802" t="s">
        <v>30</v>
      </c>
      <c r="P45" s="807">
        <f>'２-Ⅴ'!B7</f>
        <v>2959</v>
      </c>
      <c r="Q45" s="808">
        <f>'２-Ⅴ'!C7</f>
        <v>0.19737193169690501</v>
      </c>
      <c r="R45" s="750"/>
    </row>
    <row r="46" spans="1:18" ht="20.25" customHeight="1" x14ac:dyDescent="0.15">
      <c r="A46" s="374" t="s">
        <v>8</v>
      </c>
      <c r="B46" s="761">
        <f t="shared" si="11"/>
        <v>2394</v>
      </c>
      <c r="C46" s="761">
        <f t="shared" si="12"/>
        <v>147</v>
      </c>
      <c r="E46" s="1023" t="s">
        <v>485</v>
      </c>
      <c r="F46" s="1024"/>
      <c r="G46" s="761">
        <f t="shared" si="13"/>
        <v>1</v>
      </c>
      <c r="H46" s="762">
        <f t="shared" si="14"/>
        <v>0</v>
      </c>
      <c r="J46" s="826" t="s">
        <v>650</v>
      </c>
      <c r="K46" s="756">
        <f>'２-Ⅲ'!C8</f>
        <v>1776</v>
      </c>
      <c r="L46" s="756">
        <f>'２-Ⅲ'!H8</f>
        <v>30</v>
      </c>
      <c r="M46" s="756">
        <f>'２-Ⅲ'!I8</f>
        <v>126</v>
      </c>
      <c r="N46" s="750"/>
      <c r="O46" s="802" t="s">
        <v>31</v>
      </c>
      <c r="P46" s="807">
        <f>'２-Ⅴ'!B8</f>
        <v>5648</v>
      </c>
      <c r="Q46" s="808">
        <f>'２-Ⅴ'!C8</f>
        <v>0.37673425827107793</v>
      </c>
      <c r="R46" s="750"/>
    </row>
    <row r="47" spans="1:18" ht="20.25" customHeight="1" thickBot="1" x14ac:dyDescent="0.2">
      <c r="A47" s="374" t="s">
        <v>9</v>
      </c>
      <c r="B47" s="761">
        <f t="shared" si="11"/>
        <v>1812</v>
      </c>
      <c r="C47" s="761">
        <f t="shared" si="12"/>
        <v>92</v>
      </c>
      <c r="E47" s="1023" t="s">
        <v>486</v>
      </c>
      <c r="F47" s="1024"/>
      <c r="G47" s="761">
        <f t="shared" si="13"/>
        <v>1073</v>
      </c>
      <c r="H47" s="763">
        <f t="shared" si="14"/>
        <v>35</v>
      </c>
      <c r="J47" s="802" t="s">
        <v>20</v>
      </c>
      <c r="K47" s="756">
        <f>'２-Ⅲ'!C9</f>
        <v>813</v>
      </c>
      <c r="L47" s="756">
        <f>'２-Ⅲ'!H9</f>
        <v>76</v>
      </c>
      <c r="M47" s="756">
        <f>'２-Ⅲ'!I9</f>
        <v>157</v>
      </c>
      <c r="N47" s="750"/>
      <c r="O47" s="802" t="s">
        <v>32</v>
      </c>
      <c r="P47" s="807">
        <f>'２-Ⅴ'!B9</f>
        <v>3949</v>
      </c>
      <c r="Q47" s="808">
        <f>'２-Ⅴ'!C9</f>
        <v>0.26340715048025615</v>
      </c>
      <c r="R47" s="750"/>
    </row>
    <row r="48" spans="1:18" ht="20.25" customHeight="1" thickTop="1" thickBot="1" x14ac:dyDescent="0.2">
      <c r="A48" s="764" t="s">
        <v>10</v>
      </c>
      <c r="B48" s="765">
        <f t="shared" si="11"/>
        <v>462</v>
      </c>
      <c r="C48" s="765">
        <f t="shared" si="12"/>
        <v>19</v>
      </c>
      <c r="E48" s="816" t="s">
        <v>11</v>
      </c>
      <c r="F48" s="817"/>
      <c r="G48" s="843">
        <f t="shared" si="13"/>
        <v>8764</v>
      </c>
      <c r="H48" s="818">
        <f t="shared" si="14"/>
        <v>521</v>
      </c>
      <c r="J48" s="802" t="s">
        <v>21</v>
      </c>
      <c r="K48" s="756">
        <f>'２-Ⅲ'!C10</f>
        <v>7329</v>
      </c>
      <c r="L48" s="756">
        <f>'２-Ⅲ'!H10</f>
        <v>113</v>
      </c>
      <c r="M48" s="756">
        <f>'２-Ⅲ'!I10</f>
        <v>516</v>
      </c>
      <c r="N48" s="750"/>
      <c r="O48" s="809" t="s">
        <v>33</v>
      </c>
      <c r="P48" s="810">
        <f>'２-Ⅴ'!B10</f>
        <v>779</v>
      </c>
      <c r="Q48" s="811">
        <f>'２-Ⅴ'!C10</f>
        <v>5.1961045891141942E-2</v>
      </c>
      <c r="R48" s="750"/>
    </row>
    <row r="49" spans="1:18" ht="20.25" customHeight="1" thickTop="1" thickBot="1" x14ac:dyDescent="0.2">
      <c r="A49" s="819" t="s">
        <v>11</v>
      </c>
      <c r="B49" s="820">
        <f t="shared" si="11"/>
        <v>8764</v>
      </c>
      <c r="C49" s="820">
        <f t="shared" si="12"/>
        <v>521</v>
      </c>
      <c r="E49" s="224"/>
      <c r="F49" s="224"/>
      <c r="G49" s="771"/>
      <c r="H49" s="772"/>
      <c r="J49" s="802" t="s">
        <v>22</v>
      </c>
      <c r="K49" s="756">
        <f>'２-Ⅲ'!C11</f>
        <v>1533</v>
      </c>
      <c r="L49" s="756">
        <f>'２-Ⅲ'!H11</f>
        <v>70</v>
      </c>
      <c r="M49" s="756">
        <f>'２-Ⅲ'!I11</f>
        <v>227</v>
      </c>
      <c r="N49" s="750"/>
      <c r="O49" s="812" t="s">
        <v>262</v>
      </c>
      <c r="P49" s="804">
        <f>'２-Ⅴ'!B11</f>
        <v>14992</v>
      </c>
      <c r="Q49" s="813">
        <f>'２-Ⅴ'!C11</f>
        <v>1</v>
      </c>
      <c r="R49" s="750"/>
    </row>
    <row r="50" spans="1:18" ht="20.25" customHeight="1" thickTop="1" x14ac:dyDescent="0.15">
      <c r="A50" s="774" t="s">
        <v>634</v>
      </c>
      <c r="B50" s="775">
        <f t="shared" si="11"/>
        <v>3252</v>
      </c>
      <c r="C50" s="775">
        <f t="shared" si="12"/>
        <v>201</v>
      </c>
      <c r="E50" s="224"/>
      <c r="F50" s="224"/>
      <c r="G50" s="771"/>
      <c r="H50" s="772"/>
      <c r="J50" s="802" t="s">
        <v>253</v>
      </c>
      <c r="K50" s="756">
        <f>'２-Ⅲ'!C12</f>
        <v>272</v>
      </c>
      <c r="L50" s="756">
        <f>'２-Ⅲ'!H12</f>
        <v>29</v>
      </c>
      <c r="M50" s="756">
        <f>'２-Ⅲ'!I12</f>
        <v>48</v>
      </c>
      <c r="N50" s="750"/>
      <c r="O50" s="750"/>
      <c r="P50" s="750"/>
      <c r="Q50" s="750"/>
      <c r="R50" s="750"/>
    </row>
    <row r="51" spans="1:18" ht="20.25" customHeight="1" x14ac:dyDescent="0.15">
      <c r="A51" s="374" t="s">
        <v>635</v>
      </c>
      <c r="B51" s="776">
        <f t="shared" si="11"/>
        <v>5512</v>
      </c>
      <c r="C51" s="776">
        <f t="shared" si="12"/>
        <v>320</v>
      </c>
      <c r="J51" s="802" t="s">
        <v>254</v>
      </c>
      <c r="K51" s="756">
        <f>'２-Ⅲ'!C13</f>
        <v>33</v>
      </c>
      <c r="L51" s="756">
        <f>'２-Ⅲ'!H13</f>
        <v>3</v>
      </c>
      <c r="M51" s="756">
        <f>'２-Ⅲ'!I13</f>
        <v>1</v>
      </c>
      <c r="N51" s="750"/>
      <c r="O51" s="750"/>
      <c r="P51" s="750"/>
      <c r="Q51" s="750"/>
      <c r="R51" s="750"/>
    </row>
    <row r="52" spans="1:18" ht="20.25" customHeight="1" x14ac:dyDescent="0.15">
      <c r="J52" s="802" t="s">
        <v>259</v>
      </c>
      <c r="K52" s="756">
        <f>'２-Ⅲ'!C14</f>
        <v>54</v>
      </c>
      <c r="L52" s="756">
        <f>'２-Ⅲ'!H14</f>
        <v>5</v>
      </c>
      <c r="M52" s="756">
        <f>'２-Ⅲ'!I14</f>
        <v>9</v>
      </c>
      <c r="N52" s="750"/>
      <c r="O52" s="750"/>
      <c r="P52" s="750"/>
      <c r="Q52" s="750"/>
      <c r="R52" s="750"/>
    </row>
    <row r="53" spans="1:18" ht="20.25" customHeight="1" x14ac:dyDescent="0.15">
      <c r="J53" s="802" t="s">
        <v>643</v>
      </c>
      <c r="K53" s="756">
        <f>'２-Ⅲ'!C15</f>
        <v>288</v>
      </c>
      <c r="L53" s="756">
        <f>'２-Ⅲ'!H15</f>
        <v>6</v>
      </c>
      <c r="M53" s="756">
        <f>'２-Ⅲ'!I15</f>
        <v>18</v>
      </c>
      <c r="N53" s="750"/>
      <c r="O53" s="750"/>
      <c r="P53" s="750"/>
      <c r="Q53" s="750"/>
      <c r="R53" s="750"/>
    </row>
    <row r="54" spans="1:18" ht="20.25" customHeight="1" thickBot="1" x14ac:dyDescent="0.2">
      <c r="A54" s="814" t="s">
        <v>641</v>
      </c>
      <c r="B54" s="814" t="s">
        <v>625</v>
      </c>
      <c r="C54" s="814" t="s">
        <v>1</v>
      </c>
      <c r="E54" s="1025" t="s">
        <v>81</v>
      </c>
      <c r="F54" s="1026"/>
      <c r="G54" s="815" t="s">
        <v>625</v>
      </c>
      <c r="H54" s="815" t="s">
        <v>275</v>
      </c>
      <c r="J54" s="802" t="s">
        <v>23</v>
      </c>
      <c r="K54" s="756">
        <f>'２-Ⅲ'!C16</f>
        <v>165</v>
      </c>
      <c r="L54" s="756">
        <f>'２-Ⅲ'!H16</f>
        <v>4</v>
      </c>
      <c r="M54" s="756">
        <f>'２-Ⅲ'!I16</f>
        <v>23</v>
      </c>
      <c r="N54" s="750"/>
      <c r="O54" s="750"/>
      <c r="P54" s="750"/>
      <c r="Q54" s="750"/>
      <c r="R54" s="750"/>
    </row>
    <row r="55" spans="1:18" ht="20.25" customHeight="1" thickTop="1" x14ac:dyDescent="0.15">
      <c r="A55" s="774" t="s">
        <v>276</v>
      </c>
      <c r="B55" s="792">
        <f t="shared" ref="B55:C61" si="15">P105</f>
        <v>63</v>
      </c>
      <c r="C55" s="827">
        <f t="shared" si="15"/>
        <v>7.1884984025559102E-3</v>
      </c>
      <c r="E55" s="1015" t="s">
        <v>120</v>
      </c>
      <c r="F55" s="1016"/>
      <c r="G55" s="779">
        <f t="shared" ref="G55:G71" si="16">K105</f>
        <v>2117</v>
      </c>
      <c r="H55" s="776">
        <f t="shared" ref="H55:H71" si="17">SUM(L105:M105)</f>
        <v>87</v>
      </c>
      <c r="J55" s="802" t="s">
        <v>260</v>
      </c>
      <c r="K55" s="756">
        <f>'２-Ⅲ'!C17</f>
        <v>43</v>
      </c>
      <c r="L55" s="756">
        <f>'２-Ⅲ'!H17</f>
        <v>2</v>
      </c>
      <c r="M55" s="756">
        <f>'２-Ⅲ'!I17</f>
        <v>6</v>
      </c>
      <c r="N55" s="750"/>
      <c r="O55" s="750"/>
      <c r="P55" s="750"/>
      <c r="Q55" s="750"/>
      <c r="R55" s="750"/>
    </row>
    <row r="56" spans="1:18" ht="20.25" customHeight="1" x14ac:dyDescent="0.15">
      <c r="A56" s="374" t="s">
        <v>277</v>
      </c>
      <c r="B56" s="761">
        <f t="shared" si="15"/>
        <v>458</v>
      </c>
      <c r="C56" s="828">
        <f t="shared" si="15"/>
        <v>5.2259242355088997E-2</v>
      </c>
      <c r="E56" s="780"/>
      <c r="F56" s="781" t="s">
        <v>121</v>
      </c>
      <c r="G56" s="782">
        <f t="shared" si="16"/>
        <v>1025</v>
      </c>
      <c r="H56" s="782">
        <f t="shared" si="17"/>
        <v>31</v>
      </c>
      <c r="J56" s="802" t="s">
        <v>67</v>
      </c>
      <c r="K56" s="756">
        <f>'２-Ⅲ'!C18</f>
        <v>48</v>
      </c>
      <c r="L56" s="756">
        <f>'２-Ⅲ'!H18</f>
        <v>0</v>
      </c>
      <c r="M56" s="756">
        <f>'２-Ⅲ'!I18</f>
        <v>4</v>
      </c>
      <c r="N56" s="750"/>
      <c r="O56" s="750"/>
      <c r="P56" s="750"/>
      <c r="Q56" s="750"/>
      <c r="R56" s="750"/>
    </row>
    <row r="57" spans="1:18" ht="20.25" customHeight="1" x14ac:dyDescent="0.15">
      <c r="A57" s="374" t="s">
        <v>491</v>
      </c>
      <c r="B57" s="761">
        <f t="shared" si="15"/>
        <v>1454</v>
      </c>
      <c r="C57" s="828">
        <f t="shared" si="15"/>
        <v>0.16590597900502055</v>
      </c>
      <c r="E57" s="780"/>
      <c r="F57" s="783" t="s">
        <v>106</v>
      </c>
      <c r="G57" s="845">
        <f t="shared" si="16"/>
        <v>175</v>
      </c>
      <c r="H57" s="845">
        <f t="shared" si="17"/>
        <v>1</v>
      </c>
      <c r="J57" s="802" t="s">
        <v>18</v>
      </c>
      <c r="K57" s="756">
        <f>'２-Ⅲ'!C19</f>
        <v>178</v>
      </c>
      <c r="L57" s="756">
        <f>'２-Ⅲ'!H19</f>
        <v>3</v>
      </c>
      <c r="M57" s="756">
        <f>'２-Ⅲ'!I19</f>
        <v>9</v>
      </c>
      <c r="N57" s="750"/>
      <c r="O57" s="750"/>
      <c r="P57" s="750"/>
      <c r="Q57" s="750"/>
      <c r="R57" s="750"/>
    </row>
    <row r="58" spans="1:18" ht="20.25" customHeight="1" x14ac:dyDescent="0.15">
      <c r="A58" s="374" t="s">
        <v>492</v>
      </c>
      <c r="B58" s="761">
        <f t="shared" si="15"/>
        <v>3656</v>
      </c>
      <c r="C58" s="828">
        <f t="shared" si="15"/>
        <v>0.41716111364673664</v>
      </c>
      <c r="E58" s="784"/>
      <c r="F58" s="785" t="s">
        <v>19</v>
      </c>
      <c r="G58" s="846">
        <f t="shared" si="16"/>
        <v>917</v>
      </c>
      <c r="H58" s="846">
        <f t="shared" si="17"/>
        <v>55</v>
      </c>
      <c r="J58" s="757" t="s">
        <v>376</v>
      </c>
      <c r="K58" s="756">
        <f>'２-Ⅲ'!C20</f>
        <v>1</v>
      </c>
      <c r="L58" s="756">
        <f>'２-Ⅲ'!H20</f>
        <v>0</v>
      </c>
      <c r="M58" s="756">
        <f>'２-Ⅲ'!I20</f>
        <v>0</v>
      </c>
      <c r="N58" s="750"/>
      <c r="O58" s="750"/>
      <c r="P58" s="750"/>
      <c r="Q58" s="750"/>
      <c r="R58" s="750"/>
    </row>
    <row r="59" spans="1:18" ht="20.25" customHeight="1" x14ac:dyDescent="0.15">
      <c r="A59" s="374" t="s">
        <v>493</v>
      </c>
      <c r="B59" s="761">
        <f t="shared" si="15"/>
        <v>2610</v>
      </c>
      <c r="C59" s="828">
        <f t="shared" si="15"/>
        <v>0.29780921953445916</v>
      </c>
      <c r="E59" s="1015" t="s">
        <v>251</v>
      </c>
      <c r="F59" s="1016"/>
      <c r="G59" s="776">
        <f t="shared" si="16"/>
        <v>329</v>
      </c>
      <c r="H59" s="787">
        <f t="shared" si="17"/>
        <v>35</v>
      </c>
      <c r="J59" s="757" t="s">
        <v>262</v>
      </c>
      <c r="K59" s="756">
        <f>'２-Ⅲ'!C21</f>
        <v>14992</v>
      </c>
      <c r="L59" s="756">
        <f>'２-Ⅲ'!H21</f>
        <v>379</v>
      </c>
      <c r="M59" s="756">
        <f>'２-Ⅲ'!I21</f>
        <v>1278</v>
      </c>
    </row>
    <row r="60" spans="1:18" ht="20.25" customHeight="1" thickBot="1" x14ac:dyDescent="0.2">
      <c r="A60" s="764" t="s">
        <v>494</v>
      </c>
      <c r="B60" s="765">
        <f t="shared" si="15"/>
        <v>523</v>
      </c>
      <c r="C60" s="829">
        <f t="shared" si="15"/>
        <v>5.9675947056138746E-2</v>
      </c>
      <c r="E60" s="1015" t="s">
        <v>73</v>
      </c>
      <c r="F60" s="1016"/>
      <c r="G60" s="776">
        <f t="shared" si="16"/>
        <v>5271</v>
      </c>
      <c r="H60" s="787">
        <f t="shared" si="17"/>
        <v>309</v>
      </c>
    </row>
    <row r="61" spans="1:18" ht="20.25" customHeight="1" thickTop="1" x14ac:dyDescent="0.15">
      <c r="A61" s="821" t="s">
        <v>11</v>
      </c>
      <c r="B61" s="822">
        <f t="shared" si="15"/>
        <v>8764</v>
      </c>
      <c r="C61" s="823">
        <f t="shared" si="15"/>
        <v>1</v>
      </c>
      <c r="E61" s="1015" t="s">
        <v>76</v>
      </c>
      <c r="F61" s="1016"/>
      <c r="G61" s="776">
        <f t="shared" si="16"/>
        <v>625</v>
      </c>
      <c r="H61" s="787">
        <f t="shared" si="17"/>
        <v>67</v>
      </c>
    </row>
    <row r="62" spans="1:18" ht="20.25" customHeight="1" x14ac:dyDescent="0.15">
      <c r="E62" s="1015" t="s">
        <v>24</v>
      </c>
      <c r="F62" s="1016"/>
      <c r="G62" s="776">
        <f t="shared" si="16"/>
        <v>74</v>
      </c>
      <c r="H62" s="787">
        <f t="shared" si="17"/>
        <v>8</v>
      </c>
    </row>
    <row r="63" spans="1:18" ht="20.25" customHeight="1" x14ac:dyDescent="0.15">
      <c r="E63" s="1015" t="s">
        <v>25</v>
      </c>
      <c r="F63" s="1016"/>
      <c r="G63" s="776">
        <f t="shared" si="16"/>
        <v>5</v>
      </c>
      <c r="H63" s="787">
        <f t="shared" si="17"/>
        <v>0</v>
      </c>
      <c r="J63" s="748" t="s">
        <v>651</v>
      </c>
    </row>
    <row r="64" spans="1:18" ht="20.25" customHeight="1" x14ac:dyDescent="0.15">
      <c r="E64" s="1015" t="s">
        <v>256</v>
      </c>
      <c r="F64" s="1016"/>
      <c r="G64" s="776">
        <f t="shared" si="16"/>
        <v>18</v>
      </c>
      <c r="H64" s="787">
        <f t="shared" si="17"/>
        <v>3</v>
      </c>
      <c r="J64" s="749"/>
      <c r="K64" s="749" t="s">
        <v>646</v>
      </c>
      <c r="L64" s="749" t="s">
        <v>28</v>
      </c>
      <c r="M64" s="749" t="s">
        <v>29</v>
      </c>
      <c r="N64" s="750"/>
      <c r="O64" s="751"/>
      <c r="P64" s="752" t="s">
        <v>646</v>
      </c>
      <c r="Q64" s="749" t="s">
        <v>28</v>
      </c>
      <c r="R64" s="749" t="s">
        <v>29</v>
      </c>
    </row>
    <row r="65" spans="1:18" ht="20.25" customHeight="1" x14ac:dyDescent="0.15">
      <c r="E65" s="1015" t="s">
        <v>257</v>
      </c>
      <c r="F65" s="1016"/>
      <c r="G65" s="776">
        <f t="shared" si="16"/>
        <v>152</v>
      </c>
      <c r="H65" s="787">
        <f t="shared" si="17"/>
        <v>6</v>
      </c>
      <c r="J65" s="755" t="s">
        <v>2</v>
      </c>
      <c r="K65" s="756">
        <f>'３-Ⅰ'!B5</f>
        <v>6</v>
      </c>
      <c r="L65" s="756">
        <f>'３-Ⅰ'!F5</f>
        <v>0</v>
      </c>
      <c r="M65" s="756">
        <f>'３-Ⅰ'!G5</f>
        <v>2</v>
      </c>
      <c r="N65" s="750"/>
      <c r="O65" s="757" t="s">
        <v>300</v>
      </c>
      <c r="P65" s="758">
        <v>0</v>
      </c>
      <c r="Q65" s="758">
        <v>0</v>
      </c>
      <c r="R65" s="757"/>
    </row>
    <row r="66" spans="1:18" ht="20.25" customHeight="1" x14ac:dyDescent="0.15">
      <c r="E66" s="1015" t="s">
        <v>83</v>
      </c>
      <c r="F66" s="1016"/>
      <c r="G66" s="776">
        <f t="shared" si="16"/>
        <v>47</v>
      </c>
      <c r="H66" s="787">
        <f t="shared" si="17"/>
        <v>3</v>
      </c>
      <c r="J66" s="755" t="s">
        <v>3</v>
      </c>
      <c r="K66" s="756">
        <f>'３-Ⅰ'!B6</f>
        <v>48</v>
      </c>
      <c r="L66" s="756">
        <f>'３-Ⅰ'!F6</f>
        <v>1</v>
      </c>
      <c r="M66" s="756">
        <f>'３-Ⅰ'!G6</f>
        <v>4</v>
      </c>
      <c r="N66" s="750"/>
      <c r="O66" s="757" t="s">
        <v>301</v>
      </c>
      <c r="P66" s="758">
        <v>0</v>
      </c>
      <c r="Q66" s="758">
        <v>0</v>
      </c>
      <c r="R66" s="757"/>
    </row>
    <row r="67" spans="1:18" ht="20.25" customHeight="1" x14ac:dyDescent="0.15">
      <c r="E67" s="1015" t="s">
        <v>258</v>
      </c>
      <c r="F67" s="1016"/>
      <c r="G67" s="776">
        <f t="shared" si="16"/>
        <v>9</v>
      </c>
      <c r="H67" s="787">
        <f t="shared" si="17"/>
        <v>0</v>
      </c>
      <c r="J67" s="755" t="s">
        <v>4</v>
      </c>
      <c r="K67" s="756">
        <f>'３-Ⅰ'!B7</f>
        <v>224</v>
      </c>
      <c r="L67" s="756">
        <f>'３-Ⅰ'!F7</f>
        <v>1</v>
      </c>
      <c r="M67" s="756">
        <f>'３-Ⅰ'!G7</f>
        <v>15</v>
      </c>
      <c r="N67" s="750"/>
      <c r="O67" s="757" t="s">
        <v>302</v>
      </c>
      <c r="P67" s="758">
        <v>0</v>
      </c>
      <c r="Q67" s="758">
        <v>0</v>
      </c>
      <c r="R67" s="757"/>
    </row>
    <row r="68" spans="1:18" ht="20.25" customHeight="1" x14ac:dyDescent="0.15">
      <c r="E68" s="1015" t="s">
        <v>123</v>
      </c>
      <c r="F68" s="1016"/>
      <c r="G68" s="776">
        <f t="shared" si="16"/>
        <v>36</v>
      </c>
      <c r="H68" s="787">
        <f t="shared" si="17"/>
        <v>2</v>
      </c>
      <c r="J68" s="755" t="s">
        <v>5</v>
      </c>
      <c r="K68" s="756">
        <f>'３-Ⅰ'!B8</f>
        <v>653</v>
      </c>
      <c r="L68" s="756">
        <f>'３-Ⅰ'!F8</f>
        <v>5</v>
      </c>
      <c r="M68" s="756">
        <f>'３-Ⅰ'!G8</f>
        <v>41</v>
      </c>
      <c r="N68" s="750"/>
      <c r="O68" s="757" t="s">
        <v>303</v>
      </c>
      <c r="P68" s="758">
        <v>0</v>
      </c>
      <c r="Q68" s="758">
        <v>0</v>
      </c>
      <c r="R68" s="757"/>
    </row>
    <row r="69" spans="1:18" ht="20.25" customHeight="1" x14ac:dyDescent="0.15">
      <c r="E69" s="1017" t="s">
        <v>642</v>
      </c>
      <c r="F69" s="1018"/>
      <c r="G69" s="776">
        <f t="shared" si="16"/>
        <v>81</v>
      </c>
      <c r="H69" s="787">
        <f t="shared" si="17"/>
        <v>1</v>
      </c>
      <c r="J69" s="755" t="s">
        <v>6</v>
      </c>
      <c r="K69" s="756">
        <f>'３-Ⅰ'!B9</f>
        <v>1501</v>
      </c>
      <c r="L69" s="756">
        <f>'３-Ⅰ'!F9</f>
        <v>13</v>
      </c>
      <c r="M69" s="756">
        <f>'３-Ⅰ'!G9</f>
        <v>75</v>
      </c>
      <c r="N69" s="750"/>
      <c r="O69" s="757" t="s">
        <v>304</v>
      </c>
      <c r="P69" s="758">
        <v>0</v>
      </c>
      <c r="Q69" s="758">
        <v>0</v>
      </c>
      <c r="R69" s="757"/>
    </row>
    <row r="70" spans="1:18" ht="20.25" customHeight="1" thickBot="1" x14ac:dyDescent="0.2">
      <c r="E70" s="1019" t="s">
        <v>376</v>
      </c>
      <c r="F70" s="1020"/>
      <c r="G70" s="830">
        <f t="shared" si="16"/>
        <v>0</v>
      </c>
      <c r="H70" s="831">
        <f t="shared" si="17"/>
        <v>0</v>
      </c>
      <c r="J70" s="755" t="s">
        <v>7</v>
      </c>
      <c r="K70" s="756">
        <f>'３-Ⅰ'!B10</f>
        <v>1664</v>
      </c>
      <c r="L70" s="756">
        <f>'３-Ⅰ'!F10</f>
        <v>10</v>
      </c>
      <c r="M70" s="756">
        <f>'３-Ⅰ'!G10</f>
        <v>96</v>
      </c>
      <c r="N70" s="750"/>
      <c r="O70" s="757" t="s">
        <v>10</v>
      </c>
      <c r="P70" s="758">
        <v>0</v>
      </c>
      <c r="Q70" s="758">
        <v>0</v>
      </c>
      <c r="R70" s="757"/>
    </row>
    <row r="71" spans="1:18" ht="20.25" customHeight="1" thickTop="1" thickBot="1" x14ac:dyDescent="0.2">
      <c r="A71" s="224"/>
      <c r="B71" s="224"/>
      <c r="C71" s="791"/>
      <c r="E71" s="1021" t="s">
        <v>11</v>
      </c>
      <c r="F71" s="1022"/>
      <c r="G71" s="832">
        <f t="shared" si="16"/>
        <v>8764</v>
      </c>
      <c r="H71" s="833">
        <f t="shared" si="17"/>
        <v>521</v>
      </c>
      <c r="J71" s="755" t="s">
        <v>8</v>
      </c>
      <c r="K71" s="756">
        <f>'３-Ⅰ'!B11</f>
        <v>2394</v>
      </c>
      <c r="L71" s="756">
        <f>'３-Ⅰ'!F11</f>
        <v>20</v>
      </c>
      <c r="M71" s="756">
        <f>'３-Ⅰ'!G11</f>
        <v>127</v>
      </c>
      <c r="N71" s="750"/>
      <c r="O71" s="757" t="s">
        <v>262</v>
      </c>
      <c r="P71" s="758">
        <v>0</v>
      </c>
      <c r="Q71" s="758">
        <v>0</v>
      </c>
      <c r="R71" s="757"/>
    </row>
    <row r="72" spans="1:18" ht="20.25" customHeight="1" thickTop="1" x14ac:dyDescent="0.15">
      <c r="J72" s="755" t="s">
        <v>9</v>
      </c>
      <c r="K72" s="756">
        <f>'３-Ⅰ'!B12</f>
        <v>1812</v>
      </c>
      <c r="L72" s="756">
        <f>'３-Ⅰ'!F12</f>
        <v>11</v>
      </c>
      <c r="M72" s="756">
        <f>'３-Ⅰ'!G12</f>
        <v>81</v>
      </c>
      <c r="N72" s="750"/>
      <c r="O72" s="750"/>
      <c r="P72" s="750"/>
      <c r="Q72" s="750"/>
      <c r="R72" s="750"/>
    </row>
    <row r="73" spans="1:18" ht="20.25" customHeight="1" x14ac:dyDescent="0.15">
      <c r="J73" s="755" t="s">
        <v>10</v>
      </c>
      <c r="K73" s="756">
        <f>'３-Ⅰ'!B13</f>
        <v>462</v>
      </c>
      <c r="L73" s="756">
        <f>'３-Ⅰ'!F13</f>
        <v>2</v>
      </c>
      <c r="M73" s="756">
        <f>'３-Ⅰ'!G13</f>
        <v>17</v>
      </c>
      <c r="N73" s="750"/>
      <c r="O73" s="750"/>
      <c r="P73" s="750"/>
      <c r="Q73" s="750"/>
      <c r="R73" s="750"/>
    </row>
    <row r="74" spans="1:18" ht="20.25" customHeight="1" x14ac:dyDescent="0.15">
      <c r="J74" s="755" t="s">
        <v>262</v>
      </c>
      <c r="K74" s="756">
        <f>'３-Ⅰ'!B14</f>
        <v>8764</v>
      </c>
      <c r="L74" s="756">
        <f>'３-Ⅰ'!F14</f>
        <v>63</v>
      </c>
      <c r="M74" s="756">
        <f>'３-Ⅰ'!G14</f>
        <v>458</v>
      </c>
      <c r="N74" s="750"/>
      <c r="O74" s="750"/>
      <c r="P74" s="750"/>
      <c r="Q74" s="750"/>
      <c r="R74" s="750"/>
    </row>
    <row r="75" spans="1:18" ht="20.25" customHeight="1" x14ac:dyDescent="0.15">
      <c r="J75" s="755" t="s">
        <v>306</v>
      </c>
      <c r="K75" s="756">
        <f>'３-Ⅰ'!B15</f>
        <v>3252</v>
      </c>
      <c r="L75" s="756">
        <f>'３-Ⅰ'!F15</f>
        <v>24</v>
      </c>
      <c r="M75" s="756">
        <f>'３-Ⅰ'!G15</f>
        <v>177</v>
      </c>
      <c r="N75" s="773"/>
      <c r="O75" s="773"/>
      <c r="P75" s="773"/>
      <c r="Q75" s="773"/>
      <c r="R75" s="773"/>
    </row>
    <row r="76" spans="1:18" ht="20.25" customHeight="1" x14ac:dyDescent="0.15">
      <c r="J76" s="755" t="s">
        <v>307</v>
      </c>
      <c r="K76" s="756">
        <f>'３-Ⅰ'!B16</f>
        <v>5512</v>
      </c>
      <c r="L76" s="756">
        <f>'３-Ⅰ'!F16</f>
        <v>39</v>
      </c>
      <c r="M76" s="756">
        <f>'３-Ⅰ'!G16</f>
        <v>281</v>
      </c>
      <c r="N76" s="773"/>
      <c r="O76" s="773"/>
      <c r="P76" s="773"/>
      <c r="Q76" s="773"/>
      <c r="R76" s="773"/>
    </row>
    <row r="77" spans="1:18" ht="20.25" customHeight="1" x14ac:dyDescent="0.15">
      <c r="J77" s="773"/>
      <c r="K77" s="773"/>
      <c r="L77" s="773"/>
      <c r="M77" s="773"/>
      <c r="N77" s="773"/>
      <c r="O77" s="773"/>
      <c r="P77" s="773"/>
      <c r="Q77" s="773"/>
      <c r="R77" s="773"/>
    </row>
    <row r="78" spans="1:18" ht="20.25" customHeight="1" x14ac:dyDescent="0.15"/>
    <row r="79" spans="1:18" ht="20.25" customHeight="1" x14ac:dyDescent="0.15"/>
    <row r="80" spans="1:18" ht="20.25" customHeight="1" x14ac:dyDescent="0.15"/>
    <row r="81" spans="10:18" ht="20.25" customHeight="1" x14ac:dyDescent="0.15"/>
    <row r="82" spans="10:18" ht="20.25" customHeight="1" x14ac:dyDescent="0.15"/>
    <row r="83" spans="10:18" ht="20.25" customHeight="1" x14ac:dyDescent="0.15"/>
    <row r="84" spans="10:18" ht="20.25" customHeight="1" x14ac:dyDescent="0.15"/>
    <row r="85" spans="10:18" ht="20.25" customHeight="1" x14ac:dyDescent="0.15">
      <c r="J85" s="749"/>
      <c r="K85" s="749" t="s">
        <v>646</v>
      </c>
      <c r="L85" s="788" t="s">
        <v>28</v>
      </c>
      <c r="M85" s="788" t="s">
        <v>29</v>
      </c>
      <c r="N85" s="750"/>
      <c r="O85" s="751"/>
      <c r="P85" s="752" t="s">
        <v>646</v>
      </c>
      <c r="Q85" s="749" t="s">
        <v>28</v>
      </c>
      <c r="R85" s="749" t="s">
        <v>29</v>
      </c>
    </row>
    <row r="86" spans="10:18" ht="20.25" customHeight="1" x14ac:dyDescent="0.15">
      <c r="J86" s="755" t="s">
        <v>60</v>
      </c>
      <c r="K86" s="756">
        <f>'２-Ⅳ'!B67</f>
        <v>0</v>
      </c>
      <c r="L86" s="756">
        <f>'２-Ⅳ'!F67</f>
        <v>0</v>
      </c>
      <c r="M86" s="756">
        <f>'２-Ⅳ'!G67</f>
        <v>0</v>
      </c>
      <c r="N86" s="750"/>
      <c r="O86" s="757" t="s">
        <v>387</v>
      </c>
      <c r="P86" s="756">
        <f>'6-Ⅰ⑤'!B37</f>
        <v>1013</v>
      </c>
      <c r="Q86" s="756">
        <f>'6-Ⅰ⑤'!B25</f>
        <v>15</v>
      </c>
      <c r="R86" s="756">
        <f>'6-Ⅰ⑤'!B27</f>
        <v>72</v>
      </c>
    </row>
    <row r="87" spans="10:18" ht="20.25" customHeight="1" x14ac:dyDescent="0.15">
      <c r="J87" s="755" t="s">
        <v>207</v>
      </c>
      <c r="K87" s="756">
        <f>'２-Ⅳ'!B68</f>
        <v>0</v>
      </c>
      <c r="L87" s="756">
        <f>'２-Ⅳ'!F68</f>
        <v>0</v>
      </c>
      <c r="M87" s="756">
        <f>'２-Ⅳ'!G68</f>
        <v>0</v>
      </c>
      <c r="N87" s="750"/>
      <c r="O87" s="757" t="s">
        <v>388</v>
      </c>
      <c r="P87" s="756">
        <f>'6-Ⅰ⑤'!C37</f>
        <v>1114</v>
      </c>
      <c r="Q87" s="756">
        <f>'6-Ⅰ⑤'!C25</f>
        <v>8</v>
      </c>
      <c r="R87" s="756">
        <f>'6-Ⅰ⑤'!C27</f>
        <v>30</v>
      </c>
    </row>
    <row r="88" spans="10:18" ht="20.25" customHeight="1" x14ac:dyDescent="0.15">
      <c r="J88" s="755" t="s">
        <v>208</v>
      </c>
      <c r="K88" s="756">
        <f>'２-Ⅳ'!B69</f>
        <v>0</v>
      </c>
      <c r="L88" s="756">
        <f>'２-Ⅳ'!F69</f>
        <v>0</v>
      </c>
      <c r="M88" s="756">
        <f>'２-Ⅳ'!G69</f>
        <v>0</v>
      </c>
      <c r="N88" s="750"/>
      <c r="O88" s="757" t="s">
        <v>389</v>
      </c>
      <c r="P88" s="756">
        <f>'6-Ⅰ⑤'!D37</f>
        <v>730</v>
      </c>
      <c r="Q88" s="756">
        <f>'6-Ⅰ⑤'!D25</f>
        <v>11</v>
      </c>
      <c r="R88" s="756">
        <f>'6-Ⅰ⑤'!D27</f>
        <v>52</v>
      </c>
    </row>
    <row r="89" spans="10:18" ht="20.25" customHeight="1" x14ac:dyDescent="0.15">
      <c r="J89" s="755" t="s">
        <v>209</v>
      </c>
      <c r="K89" s="756">
        <f>'２-Ⅳ'!B70</f>
        <v>0</v>
      </c>
      <c r="L89" s="756">
        <f>'２-Ⅳ'!F70</f>
        <v>0</v>
      </c>
      <c r="M89" s="756">
        <f>'２-Ⅳ'!G70</f>
        <v>0</v>
      </c>
      <c r="N89" s="750"/>
      <c r="O89" s="757" t="s">
        <v>390</v>
      </c>
      <c r="P89" s="756">
        <f>'6-Ⅰ⑤'!E37</f>
        <v>567</v>
      </c>
      <c r="Q89" s="756">
        <f>'6-Ⅰ⑤'!E25</f>
        <v>11</v>
      </c>
      <c r="R89" s="756">
        <f>'6-Ⅰ⑤'!E27</f>
        <v>72</v>
      </c>
    </row>
    <row r="90" spans="10:18" ht="20.25" customHeight="1" x14ac:dyDescent="0.15">
      <c r="J90" s="755" t="s">
        <v>210</v>
      </c>
      <c r="K90" s="756">
        <f>'２-Ⅳ'!B71</f>
        <v>0</v>
      </c>
      <c r="L90" s="756">
        <f>'２-Ⅳ'!F71</f>
        <v>0</v>
      </c>
      <c r="M90" s="756">
        <f>'２-Ⅳ'!G71</f>
        <v>0</v>
      </c>
      <c r="N90" s="750"/>
      <c r="O90" s="757" t="s">
        <v>391</v>
      </c>
      <c r="P90" s="756">
        <f>'6-Ⅰ⑤'!F37</f>
        <v>757</v>
      </c>
      <c r="Q90" s="756">
        <f>'6-Ⅰ⑤'!F25</f>
        <v>2</v>
      </c>
      <c r="R90" s="756">
        <f>'6-Ⅰ⑤'!F27</f>
        <v>42</v>
      </c>
    </row>
    <row r="91" spans="10:18" ht="20.25" customHeight="1" x14ac:dyDescent="0.15">
      <c r="J91" s="755" t="s">
        <v>211</v>
      </c>
      <c r="K91" s="756">
        <f>'２-Ⅳ'!B72</f>
        <v>0</v>
      </c>
      <c r="L91" s="756">
        <f>'２-Ⅳ'!F72</f>
        <v>0</v>
      </c>
      <c r="M91" s="756">
        <f>'２-Ⅳ'!G72</f>
        <v>0</v>
      </c>
      <c r="N91" s="750"/>
      <c r="O91" s="757" t="s">
        <v>392</v>
      </c>
      <c r="P91" s="756">
        <f>'6-Ⅰ⑤'!G37</f>
        <v>3509</v>
      </c>
      <c r="Q91" s="756">
        <f>'6-Ⅰ⑤'!G25</f>
        <v>12</v>
      </c>
      <c r="R91" s="756">
        <f>'6-Ⅰ⑤'!G27</f>
        <v>159</v>
      </c>
    </row>
    <row r="92" spans="10:18" ht="20.25" customHeight="1" x14ac:dyDescent="0.15">
      <c r="J92" s="755" t="s">
        <v>212</v>
      </c>
      <c r="K92" s="756">
        <f>'２-Ⅳ'!B73</f>
        <v>0</v>
      </c>
      <c r="L92" s="756">
        <f>'２-Ⅳ'!F73</f>
        <v>0</v>
      </c>
      <c r="M92" s="756">
        <f>'２-Ⅳ'!G73</f>
        <v>0</v>
      </c>
      <c r="N92" s="750"/>
      <c r="O92" s="757" t="s">
        <v>393</v>
      </c>
      <c r="P92" s="756">
        <f>'6-Ⅰ⑤'!H37</f>
        <v>1</v>
      </c>
      <c r="Q92" s="756">
        <f>'6-Ⅰ⑤'!H25</f>
        <v>0</v>
      </c>
      <c r="R92" s="756">
        <f>'6-Ⅰ⑤'!H27</f>
        <v>0</v>
      </c>
    </row>
    <row r="93" spans="10:18" ht="20.25" customHeight="1" x14ac:dyDescent="0.15">
      <c r="J93" s="755" t="s">
        <v>213</v>
      </c>
      <c r="K93" s="756">
        <f>'２-Ⅳ'!B74</f>
        <v>0</v>
      </c>
      <c r="L93" s="756">
        <f>'２-Ⅳ'!F74</f>
        <v>0</v>
      </c>
      <c r="M93" s="756">
        <f>'２-Ⅳ'!G74</f>
        <v>0</v>
      </c>
      <c r="N93" s="750"/>
      <c r="O93" s="757" t="s">
        <v>394</v>
      </c>
      <c r="P93" s="756">
        <f>'6-Ⅰ⑤'!I37</f>
        <v>1073</v>
      </c>
      <c r="Q93" s="756">
        <f>'6-Ⅰ⑤'!I25</f>
        <v>4</v>
      </c>
      <c r="R93" s="756">
        <f>'6-Ⅰ⑤'!I27</f>
        <v>31</v>
      </c>
    </row>
    <row r="94" spans="10:18" ht="20.25" customHeight="1" x14ac:dyDescent="0.15">
      <c r="J94" s="755" t="s">
        <v>214</v>
      </c>
      <c r="K94" s="756">
        <f>'２-Ⅳ'!B75</f>
        <v>0</v>
      </c>
      <c r="L94" s="756">
        <f>'２-Ⅳ'!F75</f>
        <v>0</v>
      </c>
      <c r="M94" s="756">
        <f>'２-Ⅳ'!G75</f>
        <v>0</v>
      </c>
      <c r="N94" s="750"/>
      <c r="O94" s="757" t="s">
        <v>262</v>
      </c>
      <c r="P94" s="793">
        <f>'6-Ⅰ⑤'!J37</f>
        <v>8764</v>
      </c>
      <c r="Q94" s="756">
        <f>'6-Ⅰ⑤'!J25</f>
        <v>63</v>
      </c>
      <c r="R94" s="756">
        <f>'6-Ⅰ⑤'!J27</f>
        <v>458</v>
      </c>
    </row>
    <row r="95" spans="10:18" ht="20.25" customHeight="1" x14ac:dyDescent="0.15">
      <c r="J95" s="755" t="s">
        <v>215</v>
      </c>
      <c r="K95" s="756">
        <f>'２-Ⅳ'!B76</f>
        <v>0</v>
      </c>
      <c r="L95" s="756">
        <f>'２-Ⅳ'!F76</f>
        <v>0</v>
      </c>
      <c r="M95" s="756">
        <f>'２-Ⅳ'!G76</f>
        <v>0</v>
      </c>
      <c r="N95" s="750"/>
      <c r="O95" s="750"/>
      <c r="P95" s="750"/>
      <c r="Q95" s="750"/>
      <c r="R95" s="750"/>
    </row>
    <row r="96" spans="10:18" ht="20.25" customHeight="1" x14ac:dyDescent="0.15">
      <c r="J96" s="755" t="s">
        <v>216</v>
      </c>
      <c r="K96" s="756">
        <f>'２-Ⅳ'!B77</f>
        <v>0</v>
      </c>
      <c r="L96" s="756">
        <f>'２-Ⅳ'!F77</f>
        <v>0</v>
      </c>
      <c r="M96" s="756">
        <f>'２-Ⅳ'!G77</f>
        <v>0</v>
      </c>
      <c r="N96" s="750"/>
      <c r="O96" s="750"/>
      <c r="P96" s="750"/>
      <c r="Q96" s="750"/>
      <c r="R96" s="750"/>
    </row>
    <row r="97" spans="10:18" ht="20.25" customHeight="1" x14ac:dyDescent="0.15">
      <c r="J97" s="755" t="s">
        <v>217</v>
      </c>
      <c r="K97" s="756">
        <f>'２-Ⅳ'!B78</f>
        <v>0</v>
      </c>
      <c r="L97" s="756">
        <f>'２-Ⅳ'!F78</f>
        <v>0</v>
      </c>
      <c r="M97" s="756">
        <f>'２-Ⅳ'!G78</f>
        <v>0</v>
      </c>
      <c r="N97" s="750"/>
      <c r="O97" s="750"/>
      <c r="P97" s="750"/>
      <c r="Q97" s="750"/>
      <c r="R97" s="750"/>
    </row>
    <row r="98" spans="10:18" ht="13.5" customHeight="1" x14ac:dyDescent="0.15">
      <c r="J98" s="755" t="s">
        <v>218</v>
      </c>
      <c r="K98" s="756">
        <f>'２-Ⅳ'!B79</f>
        <v>0</v>
      </c>
      <c r="L98" s="756">
        <f>'２-Ⅳ'!F79</f>
        <v>0</v>
      </c>
      <c r="M98" s="756">
        <f>'２-Ⅳ'!G79</f>
        <v>0</v>
      </c>
      <c r="N98" s="750"/>
      <c r="O98" s="750"/>
      <c r="P98" s="750"/>
      <c r="Q98" s="750"/>
      <c r="R98" s="750"/>
    </row>
    <row r="99" spans="10:18" ht="13.5" customHeight="1" x14ac:dyDescent="0.15">
      <c r="J99" s="755" t="s">
        <v>219</v>
      </c>
      <c r="K99" s="756">
        <f>'２-Ⅳ'!B80</f>
        <v>0</v>
      </c>
      <c r="L99" s="756">
        <f>'２-Ⅳ'!F80</f>
        <v>0</v>
      </c>
      <c r="M99" s="756">
        <f>'２-Ⅳ'!G80</f>
        <v>0</v>
      </c>
      <c r="N99" s="750"/>
      <c r="O99" s="750"/>
      <c r="P99" s="750"/>
      <c r="Q99" s="750"/>
      <c r="R99" s="750"/>
    </row>
    <row r="100" spans="10:18" ht="13.5" customHeight="1" x14ac:dyDescent="0.15">
      <c r="J100" s="755" t="s">
        <v>220</v>
      </c>
      <c r="K100" s="756">
        <f>'２-Ⅳ'!B81</f>
        <v>0</v>
      </c>
      <c r="L100" s="756">
        <f>'２-Ⅳ'!F81</f>
        <v>0</v>
      </c>
      <c r="M100" s="756">
        <f>'２-Ⅳ'!G81</f>
        <v>0</v>
      </c>
      <c r="N100" s="750"/>
      <c r="O100" s="750"/>
      <c r="P100" s="750"/>
      <c r="Q100" s="750"/>
      <c r="R100" s="750"/>
    </row>
    <row r="101" spans="10:18" ht="13.5" customHeight="1" x14ac:dyDescent="0.15">
      <c r="J101" s="755" t="s">
        <v>61</v>
      </c>
      <c r="K101" s="756">
        <f>'２-Ⅳ'!B82</f>
        <v>0</v>
      </c>
      <c r="L101" s="756">
        <f>'２-Ⅳ'!F82</f>
        <v>0</v>
      </c>
      <c r="M101" s="756">
        <f>'２-Ⅳ'!G82</f>
        <v>0</v>
      </c>
      <c r="N101" s="750"/>
      <c r="O101" s="750"/>
      <c r="P101" s="750"/>
      <c r="Q101" s="750"/>
      <c r="R101" s="750"/>
    </row>
    <row r="102" spans="10:18" ht="13.5" customHeight="1" x14ac:dyDescent="0.15">
      <c r="J102" s="755" t="s">
        <v>262</v>
      </c>
      <c r="K102" s="756">
        <f>'２-Ⅳ'!B83</f>
        <v>0</v>
      </c>
      <c r="L102" s="756">
        <f>'２-Ⅳ'!F83</f>
        <v>0</v>
      </c>
      <c r="M102" s="756">
        <f>'２-Ⅳ'!G83</f>
        <v>0</v>
      </c>
      <c r="N102" s="750"/>
      <c r="O102" s="750"/>
      <c r="P102" s="750"/>
      <c r="Q102" s="750"/>
      <c r="R102" s="750"/>
    </row>
    <row r="103" spans="10:18" ht="13.5" customHeight="1" x14ac:dyDescent="0.15">
      <c r="J103" s="750"/>
      <c r="K103" s="750"/>
      <c r="L103" s="750"/>
      <c r="M103" s="750"/>
      <c r="N103" s="750"/>
      <c r="O103" s="750"/>
      <c r="P103" s="750"/>
      <c r="Q103" s="750"/>
      <c r="R103" s="750"/>
    </row>
    <row r="104" spans="10:18" ht="13.5" customHeight="1" x14ac:dyDescent="0.15">
      <c r="J104" s="800" t="s">
        <v>647</v>
      </c>
      <c r="K104" s="749" t="s">
        <v>646</v>
      </c>
      <c r="L104" s="788" t="s">
        <v>28</v>
      </c>
      <c r="M104" s="788" t="s">
        <v>29</v>
      </c>
      <c r="N104" s="750"/>
      <c r="O104" s="752" t="s">
        <v>648</v>
      </c>
      <c r="P104" s="752" t="s">
        <v>649</v>
      </c>
      <c r="Q104" s="752" t="s">
        <v>226</v>
      </c>
      <c r="R104" s="750"/>
    </row>
    <row r="105" spans="10:18" ht="13.5" customHeight="1" x14ac:dyDescent="0.15">
      <c r="J105" s="802" t="s">
        <v>408</v>
      </c>
      <c r="K105" s="756">
        <f>'３-Ⅲ'!C5</f>
        <v>2117</v>
      </c>
      <c r="L105" s="756">
        <f>'３-Ⅲ'!H5</f>
        <v>8</v>
      </c>
      <c r="M105" s="756">
        <f>'３-Ⅲ'!I5</f>
        <v>79</v>
      </c>
      <c r="N105" s="750"/>
      <c r="O105" s="802" t="s">
        <v>28</v>
      </c>
      <c r="P105" s="807">
        <f>'３-Ⅳ'!B5</f>
        <v>63</v>
      </c>
      <c r="Q105" s="824">
        <f>'３-Ⅳ'!C5</f>
        <v>7.1884984025559102E-3</v>
      </c>
      <c r="R105" s="750"/>
    </row>
    <row r="106" spans="10:18" ht="13.5" customHeight="1" x14ac:dyDescent="0.15">
      <c r="J106" s="806" t="s">
        <v>409</v>
      </c>
      <c r="K106" s="756">
        <f>'３-Ⅲ'!C6</f>
        <v>1025</v>
      </c>
      <c r="L106" s="756">
        <f>'３-Ⅲ'!H6</f>
        <v>3</v>
      </c>
      <c r="M106" s="756">
        <f>'３-Ⅲ'!I6</f>
        <v>28</v>
      </c>
      <c r="N106" s="750"/>
      <c r="O106" s="802" t="s">
        <v>29</v>
      </c>
      <c r="P106" s="807">
        <f>'３-Ⅳ'!B6</f>
        <v>458</v>
      </c>
      <c r="Q106" s="824">
        <f>'３-Ⅳ'!C6</f>
        <v>5.2259242355088997E-2</v>
      </c>
      <c r="R106" s="750"/>
    </row>
    <row r="107" spans="10:18" ht="13.5" customHeight="1" x14ac:dyDescent="0.15">
      <c r="J107" s="806" t="s">
        <v>410</v>
      </c>
      <c r="K107" s="756">
        <f>'３-Ⅲ'!C7</f>
        <v>175</v>
      </c>
      <c r="L107" s="756">
        <f>'３-Ⅲ'!H7</f>
        <v>0</v>
      </c>
      <c r="M107" s="756">
        <f>'３-Ⅲ'!I7</f>
        <v>1</v>
      </c>
      <c r="N107" s="750"/>
      <c r="O107" s="802" t="s">
        <v>30</v>
      </c>
      <c r="P107" s="807">
        <f>'３-Ⅳ'!B7</f>
        <v>1454</v>
      </c>
      <c r="Q107" s="824">
        <f>'３-Ⅳ'!C7</f>
        <v>0.16590597900502055</v>
      </c>
      <c r="R107" s="750"/>
    </row>
    <row r="108" spans="10:18" ht="13.5" customHeight="1" x14ac:dyDescent="0.15">
      <c r="J108" s="826" t="s">
        <v>650</v>
      </c>
      <c r="K108" s="756">
        <f>'３-Ⅲ'!C8</f>
        <v>917</v>
      </c>
      <c r="L108" s="756">
        <f>'３-Ⅲ'!H8</f>
        <v>5</v>
      </c>
      <c r="M108" s="756">
        <f>'３-Ⅲ'!I8</f>
        <v>50</v>
      </c>
      <c r="N108" s="750"/>
      <c r="O108" s="802" t="s">
        <v>31</v>
      </c>
      <c r="P108" s="807">
        <f>'３-Ⅳ'!B8</f>
        <v>3656</v>
      </c>
      <c r="Q108" s="824">
        <f>'３-Ⅳ'!C8</f>
        <v>0.41716111364673664</v>
      </c>
      <c r="R108" s="750"/>
    </row>
    <row r="109" spans="10:18" ht="13.5" customHeight="1" x14ac:dyDescent="0.15">
      <c r="J109" s="802" t="s">
        <v>20</v>
      </c>
      <c r="K109" s="756">
        <f>'３-Ⅲ'!C9</f>
        <v>329</v>
      </c>
      <c r="L109" s="756">
        <f>'３-Ⅲ'!H9</f>
        <v>5</v>
      </c>
      <c r="M109" s="756">
        <f>'３-Ⅲ'!I9</f>
        <v>30</v>
      </c>
      <c r="N109" s="750"/>
      <c r="O109" s="802" t="s">
        <v>32</v>
      </c>
      <c r="P109" s="807">
        <f>'３-Ⅳ'!B9</f>
        <v>2610</v>
      </c>
      <c r="Q109" s="824">
        <f>'３-Ⅳ'!C9</f>
        <v>0.29780921953445916</v>
      </c>
      <c r="R109" s="750"/>
    </row>
    <row r="110" spans="10:18" ht="13.5" customHeight="1" x14ac:dyDescent="0.15">
      <c r="J110" s="802" t="s">
        <v>21</v>
      </c>
      <c r="K110" s="756">
        <f>'３-Ⅲ'!C10</f>
        <v>5271</v>
      </c>
      <c r="L110" s="756">
        <f>'３-Ⅲ'!H10</f>
        <v>39</v>
      </c>
      <c r="M110" s="756">
        <f>'３-Ⅲ'!I10</f>
        <v>270</v>
      </c>
      <c r="N110" s="750"/>
      <c r="O110" s="802" t="s">
        <v>33</v>
      </c>
      <c r="P110" s="807">
        <f>'３-Ⅳ'!B10</f>
        <v>523</v>
      </c>
      <c r="Q110" s="824">
        <f>'３-Ⅳ'!C10</f>
        <v>5.9675947056138746E-2</v>
      </c>
      <c r="R110" s="750"/>
    </row>
    <row r="111" spans="10:18" ht="13.5" customHeight="1" x14ac:dyDescent="0.15">
      <c r="J111" s="802" t="s">
        <v>22</v>
      </c>
      <c r="K111" s="756">
        <f>'３-Ⅲ'!C11</f>
        <v>625</v>
      </c>
      <c r="L111" s="756">
        <f>'３-Ⅲ'!H11</f>
        <v>10</v>
      </c>
      <c r="M111" s="756">
        <f>'３-Ⅲ'!I11</f>
        <v>57</v>
      </c>
      <c r="N111" s="750"/>
      <c r="O111" s="825" t="s">
        <v>262</v>
      </c>
      <c r="P111" s="807">
        <f>'３-Ⅳ'!B11</f>
        <v>8764</v>
      </c>
      <c r="Q111" s="824">
        <f>'３-Ⅳ'!C11</f>
        <v>1</v>
      </c>
      <c r="R111" s="750"/>
    </row>
    <row r="112" spans="10:18" ht="13.5" customHeight="1" x14ac:dyDescent="0.15">
      <c r="J112" s="802" t="s">
        <v>253</v>
      </c>
      <c r="K112" s="756">
        <f>'３-Ⅲ'!C12</f>
        <v>74</v>
      </c>
      <c r="L112" s="756">
        <f>'３-Ⅲ'!H12</f>
        <v>0</v>
      </c>
      <c r="M112" s="756">
        <f>'３-Ⅲ'!I12</f>
        <v>8</v>
      </c>
      <c r="N112" s="750"/>
      <c r="O112" s="750"/>
      <c r="P112" s="750"/>
      <c r="Q112" s="750"/>
      <c r="R112" s="750"/>
    </row>
    <row r="113" spans="10:18" ht="13.5" customHeight="1" x14ac:dyDescent="0.15">
      <c r="J113" s="802" t="s">
        <v>254</v>
      </c>
      <c r="K113" s="756">
        <f>'３-Ⅲ'!C13</f>
        <v>5</v>
      </c>
      <c r="L113" s="756">
        <f>'３-Ⅲ'!H13</f>
        <v>0</v>
      </c>
      <c r="M113" s="756">
        <f>'３-Ⅲ'!I13</f>
        <v>0</v>
      </c>
      <c r="N113" s="750"/>
      <c r="O113" s="750"/>
      <c r="P113" s="750"/>
      <c r="Q113" s="750"/>
      <c r="R113" s="750"/>
    </row>
    <row r="114" spans="10:18" ht="13.5" customHeight="1" x14ac:dyDescent="0.15">
      <c r="J114" s="802" t="s">
        <v>259</v>
      </c>
      <c r="K114" s="756">
        <f>'３-Ⅲ'!C14</f>
        <v>18</v>
      </c>
      <c r="L114" s="756">
        <f>'３-Ⅲ'!H14</f>
        <v>0</v>
      </c>
      <c r="M114" s="756">
        <f>'３-Ⅲ'!I14</f>
        <v>3</v>
      </c>
      <c r="N114" s="750"/>
      <c r="O114" s="750"/>
      <c r="P114" s="750"/>
      <c r="Q114" s="750"/>
      <c r="R114" s="750"/>
    </row>
    <row r="115" spans="10:18" ht="13.5" customHeight="1" x14ac:dyDescent="0.15">
      <c r="J115" s="802" t="s">
        <v>643</v>
      </c>
      <c r="K115" s="756">
        <f>'３-Ⅲ'!C15</f>
        <v>152</v>
      </c>
      <c r="L115" s="756">
        <f>'３-Ⅲ'!H15</f>
        <v>1</v>
      </c>
      <c r="M115" s="756">
        <f>'３-Ⅲ'!I15</f>
        <v>5</v>
      </c>
      <c r="N115" s="750"/>
      <c r="O115" s="750"/>
      <c r="P115" s="750"/>
      <c r="Q115" s="750"/>
      <c r="R115" s="750"/>
    </row>
    <row r="116" spans="10:18" ht="13.5" customHeight="1" x14ac:dyDescent="0.15">
      <c r="J116" s="802" t="s">
        <v>23</v>
      </c>
      <c r="K116" s="756">
        <f>'３-Ⅲ'!C16</f>
        <v>47</v>
      </c>
      <c r="L116" s="756">
        <f>'３-Ⅲ'!H16</f>
        <v>0</v>
      </c>
      <c r="M116" s="756">
        <f>'３-Ⅲ'!I16</f>
        <v>3</v>
      </c>
      <c r="N116" s="750"/>
      <c r="O116" s="750"/>
      <c r="P116" s="750"/>
      <c r="Q116" s="750"/>
      <c r="R116" s="750"/>
    </row>
    <row r="117" spans="10:18" ht="13.5" customHeight="1" x14ac:dyDescent="0.15">
      <c r="J117" s="802" t="s">
        <v>260</v>
      </c>
      <c r="K117" s="756">
        <f>'３-Ⅲ'!C17</f>
        <v>9</v>
      </c>
      <c r="L117" s="756">
        <f>'３-Ⅲ'!H17</f>
        <v>0</v>
      </c>
      <c r="M117" s="756">
        <f>'３-Ⅲ'!I17</f>
        <v>0</v>
      </c>
      <c r="N117" s="750"/>
      <c r="O117" s="750"/>
      <c r="P117" s="750"/>
      <c r="Q117" s="750"/>
      <c r="R117" s="750"/>
    </row>
    <row r="118" spans="10:18" ht="13.5" customHeight="1" x14ac:dyDescent="0.15">
      <c r="J118" s="802" t="s">
        <v>67</v>
      </c>
      <c r="K118" s="756">
        <f>'３-Ⅲ'!C18</f>
        <v>36</v>
      </c>
      <c r="L118" s="756">
        <f>'３-Ⅲ'!H18</f>
        <v>0</v>
      </c>
      <c r="M118" s="756">
        <f>'３-Ⅲ'!I18</f>
        <v>2</v>
      </c>
      <c r="N118" s="750"/>
      <c r="O118" s="750"/>
      <c r="P118" s="750"/>
      <c r="Q118" s="750"/>
      <c r="R118" s="750"/>
    </row>
    <row r="119" spans="10:18" ht="13.5" customHeight="1" x14ac:dyDescent="0.15">
      <c r="J119" s="802" t="s">
        <v>18</v>
      </c>
      <c r="K119" s="756">
        <f>'３-Ⅲ'!C19</f>
        <v>81</v>
      </c>
      <c r="L119" s="756">
        <f>'３-Ⅲ'!H19</f>
        <v>0</v>
      </c>
      <c r="M119" s="756">
        <f>'３-Ⅲ'!I19</f>
        <v>1</v>
      </c>
      <c r="N119" s="750"/>
      <c r="O119" s="750"/>
      <c r="P119" s="750"/>
      <c r="Q119" s="750"/>
      <c r="R119" s="750"/>
    </row>
    <row r="120" spans="10:18" ht="13.5" customHeight="1" x14ac:dyDescent="0.15">
      <c r="J120" s="757" t="s">
        <v>376</v>
      </c>
      <c r="K120" s="756">
        <f>'３-Ⅲ'!C20</f>
        <v>0</v>
      </c>
      <c r="L120" s="756">
        <f>'３-Ⅲ'!H20</f>
        <v>0</v>
      </c>
      <c r="M120" s="756">
        <f>'３-Ⅲ'!I20</f>
        <v>0</v>
      </c>
      <c r="N120" s="750"/>
      <c r="O120" s="750"/>
      <c r="P120" s="750"/>
      <c r="Q120" s="750"/>
      <c r="R120" s="750"/>
    </row>
    <row r="121" spans="10:18" ht="13.5" customHeight="1" x14ac:dyDescent="0.15">
      <c r="J121" s="757" t="s">
        <v>262</v>
      </c>
      <c r="K121" s="756">
        <f>'３-Ⅲ'!C21</f>
        <v>8764</v>
      </c>
      <c r="L121" s="756">
        <f>'３-Ⅲ'!H21</f>
        <v>63</v>
      </c>
      <c r="M121" s="756">
        <f>'３-Ⅲ'!I21</f>
        <v>458</v>
      </c>
    </row>
  </sheetData>
  <mergeCells count="47">
    <mergeCell ref="E23:F23"/>
    <mergeCell ref="E3:F3"/>
    <mergeCell ref="E4:F4"/>
    <mergeCell ref="E5:F5"/>
    <mergeCell ref="E6:F6"/>
    <mergeCell ref="E7:F7"/>
    <mergeCell ref="E8:F8"/>
    <mergeCell ref="E9:F9"/>
    <mergeCell ref="E10:F10"/>
    <mergeCell ref="E11:F11"/>
    <mergeCell ref="E18:F18"/>
    <mergeCell ref="E19:F19"/>
    <mergeCell ref="E40:F40"/>
    <mergeCell ref="E24:F24"/>
    <mergeCell ref="E25:F25"/>
    <mergeCell ref="E26:F26"/>
    <mergeCell ref="E27:F27"/>
    <mergeCell ref="E28:F28"/>
    <mergeCell ref="E29:F29"/>
    <mergeCell ref="E30:F30"/>
    <mergeCell ref="E31:F31"/>
    <mergeCell ref="E32:F32"/>
    <mergeCell ref="E33:F33"/>
    <mergeCell ref="E39:F39"/>
    <mergeCell ref="E61:F61"/>
    <mergeCell ref="E41:F41"/>
    <mergeCell ref="E42:F42"/>
    <mergeCell ref="E43:F43"/>
    <mergeCell ref="E44:F44"/>
    <mergeCell ref="E45:F45"/>
    <mergeCell ref="E46:F46"/>
    <mergeCell ref="E68:F68"/>
    <mergeCell ref="E69:F69"/>
    <mergeCell ref="E34:F34"/>
    <mergeCell ref="E70:F70"/>
    <mergeCell ref="E71:F71"/>
    <mergeCell ref="E62:F62"/>
    <mergeCell ref="E63:F63"/>
    <mergeCell ref="E64:F64"/>
    <mergeCell ref="E65:F65"/>
    <mergeCell ref="E66:F66"/>
    <mergeCell ref="E67:F67"/>
    <mergeCell ref="E47:F47"/>
    <mergeCell ref="E54:F54"/>
    <mergeCell ref="E55:F55"/>
    <mergeCell ref="E59:F59"/>
    <mergeCell ref="E60:F60"/>
  </mergeCells>
  <phoneticPr fontId="2"/>
  <pageMargins left="0.44507575757575757" right="0.32196969696969696" top="0.60606060606060608" bottom="0.51136363636363635" header="0.3" footer="0.3"/>
  <pageSetup paperSize="9" scale="91" fitToHeight="0" orientation="portrait" r:id="rId1"/>
  <headerFooter>
    <oddHeader>&amp;C&amp;"游ゴシック,太字"&amp;14R4年度　大阪府の在院患者の状況&amp;R&amp;"游ゴシック,標準"&amp;10R4.6.30時点</oddHeader>
    <oddFooter>&amp;R&amp;"メイリオ,レギュラー"&amp;10&amp;F</oddFooter>
  </headerFooter>
  <rowBreaks count="1" manualBreakCount="1">
    <brk id="35" max="7" man="1"/>
  </row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7" tint="-0.249977111117893"/>
  </sheetPr>
  <dimension ref="M4:R51"/>
  <sheetViews>
    <sheetView view="pageBreakPreview" zoomScale="80" zoomScaleNormal="100" zoomScaleSheetLayoutView="80" zoomScalePageLayoutView="110" workbookViewId="0">
      <selection activeCell="M16" sqref="M16"/>
    </sheetView>
  </sheetViews>
  <sheetFormatPr defaultRowHeight="13.5" customHeight="1" x14ac:dyDescent="0.15"/>
  <cols>
    <col min="10" max="10" width="6.5" customWidth="1"/>
    <col min="11" max="11" width="7.25" customWidth="1"/>
    <col min="13" max="13" width="18.25" customWidth="1"/>
    <col min="14" max="14" width="9.5" customWidth="1"/>
    <col min="15" max="17" width="9.125" customWidth="1"/>
  </cols>
  <sheetData>
    <row r="4" spans="13:18" ht="13.5" customHeight="1" x14ac:dyDescent="0.15">
      <c r="M4" s="447"/>
      <c r="N4" s="447" t="s">
        <v>349</v>
      </c>
      <c r="O4" s="447" t="s">
        <v>114</v>
      </c>
      <c r="P4" s="447" t="s">
        <v>116</v>
      </c>
      <c r="Q4" s="447" t="s">
        <v>12</v>
      </c>
      <c r="R4" s="448"/>
    </row>
    <row r="5" spans="13:18" ht="13.5" customHeight="1" x14ac:dyDescent="0.15">
      <c r="M5" s="449" t="s">
        <v>2</v>
      </c>
      <c r="N5" s="492">
        <f>IFERROR(VLOOKUP($M5,年齢区分[#All],2,FALSE),0)</f>
        <v>156</v>
      </c>
      <c r="O5" s="492">
        <f>IFERROR(VLOOKUP($M5,年齢区分＿寛解[#All],2,FALSE),0)</f>
        <v>11</v>
      </c>
      <c r="P5" s="492">
        <f>IFERROR(VLOOKUP($M5,年齢区分＿院内寛解[#All],2,FALSE),0)</f>
        <v>26</v>
      </c>
      <c r="Q5" s="493">
        <f>SUM(O5:P5)</f>
        <v>37</v>
      </c>
      <c r="R5" s="448"/>
    </row>
    <row r="6" spans="13:18" ht="13.5" customHeight="1" x14ac:dyDescent="0.15">
      <c r="M6" s="449" t="s">
        <v>3</v>
      </c>
      <c r="N6" s="492">
        <f>IFERROR(VLOOKUP($M6,年齢区分[#All],2,FALSE),0)</f>
        <v>330</v>
      </c>
      <c r="O6" s="492">
        <f>IFERROR(VLOOKUP($M6,年齢区分＿寛解[#All],2,FALSE),0)</f>
        <v>28</v>
      </c>
      <c r="P6" s="492">
        <f>IFERROR(VLOOKUP($M6,年齢区分＿院内寛解[#All],2,FALSE),0)</f>
        <v>29</v>
      </c>
      <c r="Q6" s="493">
        <f t="shared" ref="Q6:Q13" si="0">SUM(O6:P6)</f>
        <v>57</v>
      </c>
      <c r="R6" s="448"/>
    </row>
    <row r="7" spans="13:18" ht="13.5" customHeight="1" x14ac:dyDescent="0.15">
      <c r="M7" s="449" t="s">
        <v>4</v>
      </c>
      <c r="N7" s="492">
        <f>IFERROR(VLOOKUP($M7,年齢区分[#All],2,FALSE),0)</f>
        <v>557</v>
      </c>
      <c r="O7" s="492">
        <f>IFERROR(VLOOKUP($M7,年齢区分＿寛解[#All],2,FALSE),0)</f>
        <v>21</v>
      </c>
      <c r="P7" s="492">
        <f>IFERROR(VLOOKUP($M7,年齢区分＿院内寛解[#All],2,FALSE),0)</f>
        <v>74</v>
      </c>
      <c r="Q7" s="493">
        <f t="shared" si="0"/>
        <v>95</v>
      </c>
      <c r="R7" s="448"/>
    </row>
    <row r="8" spans="13:18" ht="13.5" customHeight="1" x14ac:dyDescent="0.15">
      <c r="M8" s="449" t="s">
        <v>5</v>
      </c>
      <c r="N8" s="492">
        <f>IFERROR(VLOOKUP($M8,年齢区分[#All],2,FALSE),0)</f>
        <v>1258</v>
      </c>
      <c r="O8" s="492">
        <f>IFERROR(VLOOKUP($M8,年齢区分＿寛解[#All],2,FALSE),0)</f>
        <v>52</v>
      </c>
      <c r="P8" s="492">
        <f>IFERROR(VLOOKUP($M8,年齢区分＿院内寛解[#All],2,FALSE),0)</f>
        <v>147</v>
      </c>
      <c r="Q8" s="493">
        <f t="shared" si="0"/>
        <v>199</v>
      </c>
      <c r="R8" s="448"/>
    </row>
    <row r="9" spans="13:18" ht="13.5" customHeight="1" x14ac:dyDescent="0.15">
      <c r="M9" s="449" t="s">
        <v>6</v>
      </c>
      <c r="N9" s="492">
        <f>IFERROR(VLOOKUP($M9,年齢区分[#All],2,FALSE),0)</f>
        <v>2400</v>
      </c>
      <c r="O9" s="492">
        <f>IFERROR(VLOOKUP($M9,年齢区分＿寛解[#All],2,FALSE),0)</f>
        <v>70</v>
      </c>
      <c r="P9" s="492">
        <f>IFERROR(VLOOKUP($M9,年齢区分＿院内寛解[#All],2,FALSE),0)</f>
        <v>232</v>
      </c>
      <c r="Q9" s="493">
        <f t="shared" si="0"/>
        <v>302</v>
      </c>
      <c r="R9" s="448"/>
    </row>
    <row r="10" spans="13:18" ht="13.5" customHeight="1" x14ac:dyDescent="0.15">
      <c r="M10" s="449" t="s">
        <v>7</v>
      </c>
      <c r="N10" s="492">
        <f>IFERROR(VLOOKUP($M10,年齢区分[#All],2,FALSE),0)</f>
        <v>2511</v>
      </c>
      <c r="O10" s="492">
        <f>IFERROR(VLOOKUP($M10,年齢区分＿寛解[#All],2,FALSE),0)</f>
        <v>55</v>
      </c>
      <c r="P10" s="492">
        <f>IFERROR(VLOOKUP($M10,年齢区分＿院内寛解[#All],2,FALSE),0)</f>
        <v>213</v>
      </c>
      <c r="Q10" s="493">
        <f t="shared" si="0"/>
        <v>268</v>
      </c>
      <c r="R10" s="448"/>
    </row>
    <row r="11" spans="13:18" ht="13.5" customHeight="1" x14ac:dyDescent="0.15">
      <c r="M11" s="449" t="s">
        <v>8</v>
      </c>
      <c r="N11" s="492">
        <f>IFERROR(VLOOKUP($M11,年齢区分[#All],2,FALSE),0)</f>
        <v>3728</v>
      </c>
      <c r="O11" s="492">
        <f>IFERROR(VLOOKUP($M11,年齢区分＿寛解[#All],2,FALSE),0)</f>
        <v>72</v>
      </c>
      <c r="P11" s="492">
        <f>IFERROR(VLOOKUP($M11,年齢区分＿院内寛解[#All],2,FALSE),0)</f>
        <v>288</v>
      </c>
      <c r="Q11" s="493">
        <f t="shared" si="0"/>
        <v>360</v>
      </c>
      <c r="R11" s="448"/>
    </row>
    <row r="12" spans="13:18" ht="13.5" customHeight="1" x14ac:dyDescent="0.15">
      <c r="M12" s="449" t="s">
        <v>9</v>
      </c>
      <c r="N12" s="492">
        <f>IFERROR(VLOOKUP($M12,年齢区分[#All],2,FALSE),0)</f>
        <v>3314</v>
      </c>
      <c r="O12" s="492">
        <f>IFERROR(VLOOKUP($M12,年齢区分＿寛解[#All],2,FALSE),0)</f>
        <v>59</v>
      </c>
      <c r="P12" s="492">
        <f>IFERROR(VLOOKUP($M12,年齢区分＿院内寛解[#All],2,FALSE),0)</f>
        <v>229</v>
      </c>
      <c r="Q12" s="493">
        <f t="shared" si="0"/>
        <v>288</v>
      </c>
      <c r="R12" s="448"/>
    </row>
    <row r="13" spans="13:18" ht="13.5" customHeight="1" x14ac:dyDescent="0.15">
      <c r="M13" s="449" t="s">
        <v>10</v>
      </c>
      <c r="N13" s="492">
        <f>IFERROR(VLOOKUP($M13,年齢区分[#All],2,FALSE),0)</f>
        <v>738</v>
      </c>
      <c r="O13" s="492">
        <f>IFERROR(VLOOKUP($M13,年齢区分＿寛解[#All],2,FALSE),0)</f>
        <v>11</v>
      </c>
      <c r="P13" s="492">
        <f>IFERROR(VLOOKUP($M13,年齢区分＿院内寛解[#All],2,FALSE),0)</f>
        <v>40</v>
      </c>
      <c r="Q13" s="493">
        <f t="shared" si="0"/>
        <v>51</v>
      </c>
      <c r="R13" s="448"/>
    </row>
    <row r="14" spans="13:18" ht="13.5" customHeight="1" x14ac:dyDescent="0.15">
      <c r="M14" s="448"/>
      <c r="N14" s="448"/>
      <c r="O14" s="448"/>
      <c r="P14" s="448"/>
      <c r="Q14" s="448"/>
      <c r="R14" s="448"/>
    </row>
    <row r="15" spans="13:18" ht="13.5" customHeight="1" x14ac:dyDescent="0.15">
      <c r="M15" s="448"/>
      <c r="N15" s="448"/>
      <c r="O15" s="448"/>
      <c r="P15" s="448"/>
      <c r="Q15" s="448"/>
      <c r="R15" s="448"/>
    </row>
    <row r="16" spans="13:18" ht="13.5" customHeight="1" x14ac:dyDescent="0.15">
      <c r="M16" s="448"/>
      <c r="N16" s="448"/>
      <c r="O16" s="448"/>
      <c r="P16" s="448"/>
      <c r="Q16" s="448"/>
      <c r="R16" s="448"/>
    </row>
    <row r="17" spans="13:18" ht="13.5" customHeight="1" x14ac:dyDescent="0.15">
      <c r="M17" s="448"/>
      <c r="N17" s="448"/>
      <c r="O17" s="448"/>
      <c r="P17" s="448"/>
      <c r="Q17" s="448"/>
      <c r="R17" s="448"/>
    </row>
    <row r="18" spans="13:18" ht="13.5" customHeight="1" x14ac:dyDescent="0.15">
      <c r="M18" s="448"/>
      <c r="N18" s="448"/>
      <c r="O18" s="448"/>
      <c r="P18" s="448"/>
      <c r="Q18" s="448"/>
      <c r="R18" s="448"/>
    </row>
    <row r="19" spans="13:18" ht="13.5" customHeight="1" x14ac:dyDescent="0.15">
      <c r="M19" s="448"/>
      <c r="N19" s="448"/>
      <c r="O19" s="448"/>
      <c r="P19" s="448"/>
      <c r="Q19" s="448"/>
      <c r="R19" s="448"/>
    </row>
    <row r="20" spans="13:18" ht="13.5" customHeight="1" x14ac:dyDescent="0.15">
      <c r="M20" s="448"/>
      <c r="N20" s="448"/>
      <c r="O20" s="448"/>
      <c r="P20" s="448"/>
      <c r="Q20" s="448"/>
      <c r="R20" s="448"/>
    </row>
    <row r="21" spans="13:18" ht="13.5" customHeight="1" x14ac:dyDescent="0.15">
      <c r="M21" s="448"/>
      <c r="N21" s="448"/>
      <c r="O21" s="448"/>
      <c r="P21" s="448"/>
      <c r="Q21" s="448"/>
      <c r="R21" s="448"/>
    </row>
    <row r="22" spans="13:18" ht="13.5" customHeight="1" x14ac:dyDescent="0.15">
      <c r="M22" s="448"/>
      <c r="N22" s="448"/>
      <c r="O22" s="448"/>
      <c r="P22" s="448"/>
      <c r="Q22" s="448"/>
      <c r="R22" s="448"/>
    </row>
    <row r="23" spans="13:18" ht="13.5" customHeight="1" x14ac:dyDescent="0.15">
      <c r="M23" s="448"/>
      <c r="N23" s="448"/>
      <c r="O23" s="448"/>
      <c r="P23" s="448"/>
      <c r="Q23" s="448"/>
      <c r="R23" s="448"/>
    </row>
    <row r="24" spans="13:18" ht="13.5" customHeight="1" x14ac:dyDescent="0.15">
      <c r="M24" s="450"/>
      <c r="N24" s="451" t="s">
        <v>349</v>
      </c>
      <c r="O24" s="451" t="s">
        <v>114</v>
      </c>
      <c r="P24" s="451" t="s">
        <v>116</v>
      </c>
      <c r="Q24" s="451" t="s">
        <v>351</v>
      </c>
      <c r="R24" s="448"/>
    </row>
    <row r="25" spans="13:18" ht="13.5" customHeight="1" x14ac:dyDescent="0.15">
      <c r="M25" s="449" t="s">
        <v>2</v>
      </c>
      <c r="N25" s="494">
        <f>IFERROR(VLOOKUP($M25,年齢区分＿1年以上[#All],2,FALSE),0)</f>
        <v>6</v>
      </c>
      <c r="O25" s="494">
        <f>IFERROR(VLOOKUP($M25,年齢区分＿1年以上＿寛解[#All],2,FALSE),0)</f>
        <v>0</v>
      </c>
      <c r="P25" s="494">
        <f>IFERROR(VLOOKUP($M25,年齢区分＿1年以上＿院内寛解[#All],2,FALSE),0)</f>
        <v>2</v>
      </c>
      <c r="Q25" s="493">
        <f>SUM(O25:P25)</f>
        <v>2</v>
      </c>
      <c r="R25" s="448"/>
    </row>
    <row r="26" spans="13:18" ht="13.5" customHeight="1" x14ac:dyDescent="0.15">
      <c r="M26" s="449" t="s">
        <v>3</v>
      </c>
      <c r="N26" s="494">
        <f>IFERROR(VLOOKUP($M26,年齢区分＿1年以上[#All],2,FALSE),0)</f>
        <v>48</v>
      </c>
      <c r="O26" s="494">
        <f>IFERROR(VLOOKUP($M26,年齢区分＿1年以上＿寛解[#All],2,FALSE),0)</f>
        <v>1</v>
      </c>
      <c r="P26" s="494">
        <f>IFERROR(VLOOKUP($M26,年齢区分＿1年以上＿院内寛解[#All],2,FALSE),0)</f>
        <v>4</v>
      </c>
      <c r="Q26" s="493">
        <f t="shared" ref="Q26:Q33" si="1">SUM(O26:P26)</f>
        <v>5</v>
      </c>
      <c r="R26" s="448"/>
    </row>
    <row r="27" spans="13:18" ht="13.5" customHeight="1" x14ac:dyDescent="0.15">
      <c r="M27" s="449" t="s">
        <v>4</v>
      </c>
      <c r="N27" s="494">
        <f>IFERROR(VLOOKUP($M27,年齢区分＿1年以上[#All],2,FALSE),0)</f>
        <v>224</v>
      </c>
      <c r="O27" s="494">
        <f>IFERROR(VLOOKUP($M27,年齢区分＿1年以上＿寛解[#All],2,FALSE),0)</f>
        <v>1</v>
      </c>
      <c r="P27" s="494">
        <f>IFERROR(VLOOKUP($M27,年齢区分＿1年以上＿院内寛解[#All],2,FALSE),0)</f>
        <v>15</v>
      </c>
      <c r="Q27" s="493">
        <f t="shared" si="1"/>
        <v>16</v>
      </c>
      <c r="R27" s="448"/>
    </row>
    <row r="28" spans="13:18" ht="13.5" customHeight="1" x14ac:dyDescent="0.15">
      <c r="M28" s="449" t="s">
        <v>5</v>
      </c>
      <c r="N28" s="494">
        <f>IFERROR(VLOOKUP($M28,年齢区分＿1年以上[#All],2,FALSE),0)</f>
        <v>653</v>
      </c>
      <c r="O28" s="494">
        <f>IFERROR(VLOOKUP($M28,年齢区分＿1年以上＿寛解[#All],2,FALSE),0)</f>
        <v>5</v>
      </c>
      <c r="P28" s="494">
        <f>IFERROR(VLOOKUP($M28,年齢区分＿1年以上＿院内寛解[#All],2,FALSE),0)</f>
        <v>41</v>
      </c>
      <c r="Q28" s="493">
        <f t="shared" si="1"/>
        <v>46</v>
      </c>
      <c r="R28" s="448"/>
    </row>
    <row r="29" spans="13:18" ht="13.5" customHeight="1" x14ac:dyDescent="0.15">
      <c r="M29" s="449" t="s">
        <v>6</v>
      </c>
      <c r="N29" s="494">
        <f>IFERROR(VLOOKUP($M29,年齢区分＿1年以上[#All],2,FALSE),0)</f>
        <v>1501</v>
      </c>
      <c r="O29" s="494">
        <f>IFERROR(VLOOKUP($M29,年齢区分＿1年以上＿寛解[#All],2,FALSE),0)</f>
        <v>13</v>
      </c>
      <c r="P29" s="494">
        <f>IFERROR(VLOOKUP($M29,年齢区分＿1年以上＿院内寛解[#All],2,FALSE),0)</f>
        <v>75</v>
      </c>
      <c r="Q29" s="493">
        <f t="shared" si="1"/>
        <v>88</v>
      </c>
      <c r="R29" s="448"/>
    </row>
    <row r="30" spans="13:18" ht="13.5" customHeight="1" x14ac:dyDescent="0.15">
      <c r="M30" s="449" t="s">
        <v>7</v>
      </c>
      <c r="N30" s="494">
        <f>IFERROR(VLOOKUP($M30,年齢区分＿1年以上[#All],2,FALSE),0)</f>
        <v>1664</v>
      </c>
      <c r="O30" s="494">
        <f>IFERROR(VLOOKUP($M30,年齢区分＿1年以上＿寛解[#All],2,FALSE),0)</f>
        <v>10</v>
      </c>
      <c r="P30" s="494">
        <f>IFERROR(VLOOKUP($M30,年齢区分＿1年以上＿院内寛解[#All],2,FALSE),0)</f>
        <v>96</v>
      </c>
      <c r="Q30" s="493">
        <f t="shared" si="1"/>
        <v>106</v>
      </c>
      <c r="R30" s="448"/>
    </row>
    <row r="31" spans="13:18" ht="13.5" customHeight="1" x14ac:dyDescent="0.15">
      <c r="M31" s="449" t="s">
        <v>8</v>
      </c>
      <c r="N31" s="494">
        <f>IFERROR(VLOOKUP($M31,年齢区分＿1年以上[#All],2,FALSE),0)</f>
        <v>2394</v>
      </c>
      <c r="O31" s="494">
        <f>IFERROR(VLOOKUP($M31,年齢区分＿1年以上＿寛解[#All],2,FALSE),0)</f>
        <v>20</v>
      </c>
      <c r="P31" s="494">
        <f>IFERROR(VLOOKUP($M31,年齢区分＿1年以上＿院内寛解[#All],2,FALSE),0)</f>
        <v>127</v>
      </c>
      <c r="Q31" s="493">
        <f t="shared" si="1"/>
        <v>147</v>
      </c>
      <c r="R31" s="448"/>
    </row>
    <row r="32" spans="13:18" ht="13.5" customHeight="1" x14ac:dyDescent="0.15">
      <c r="M32" s="449" t="s">
        <v>9</v>
      </c>
      <c r="N32" s="494">
        <f>IFERROR(VLOOKUP($M32,年齢区分＿1年以上[#All],2,FALSE),0)</f>
        <v>1812</v>
      </c>
      <c r="O32" s="494">
        <f>IFERROR(VLOOKUP($M32,年齢区分＿1年以上＿寛解[#All],2,FALSE),0)</f>
        <v>11</v>
      </c>
      <c r="P32" s="494">
        <f>IFERROR(VLOOKUP($M32,年齢区分＿1年以上＿院内寛解[#All],2,FALSE),0)</f>
        <v>81</v>
      </c>
      <c r="Q32" s="493">
        <f t="shared" si="1"/>
        <v>92</v>
      </c>
      <c r="R32" s="448"/>
    </row>
    <row r="33" spans="13:18" ht="13.5" customHeight="1" x14ac:dyDescent="0.15">
      <c r="M33" s="449" t="s">
        <v>10</v>
      </c>
      <c r="N33" s="494">
        <f>IFERROR(VLOOKUP($M33,年齢区分＿1年以上[#All],2,FALSE),0)</f>
        <v>462</v>
      </c>
      <c r="O33" s="494">
        <f>IFERROR(VLOOKUP($M33,年齢区分＿1年以上＿寛解[#All],2,FALSE),0)</f>
        <v>2</v>
      </c>
      <c r="P33" s="494">
        <f>IFERROR(VLOOKUP($M33,年齢区分＿1年以上＿院内寛解[#All],2,FALSE),0)</f>
        <v>17</v>
      </c>
      <c r="Q33" s="493">
        <f t="shared" si="1"/>
        <v>19</v>
      </c>
      <c r="R33" s="448"/>
    </row>
    <row r="34" spans="13:18" ht="13.5" customHeight="1" x14ac:dyDescent="0.15">
      <c r="M34" s="448"/>
      <c r="N34" s="448"/>
      <c r="O34" s="448"/>
      <c r="P34" s="448"/>
      <c r="Q34" s="448"/>
      <c r="R34" s="448"/>
    </row>
    <row r="35" spans="13:18" ht="13.5" customHeight="1" x14ac:dyDescent="0.15">
      <c r="M35" s="448"/>
      <c r="N35" s="448"/>
      <c r="O35" s="448"/>
      <c r="P35" s="448"/>
      <c r="Q35" s="448"/>
      <c r="R35" s="448"/>
    </row>
    <row r="36" spans="13:18" ht="13.5" customHeight="1" x14ac:dyDescent="0.15">
      <c r="M36" s="448"/>
      <c r="N36" s="448"/>
      <c r="O36" s="448"/>
      <c r="P36" s="448"/>
      <c r="Q36" s="448"/>
      <c r="R36" s="448"/>
    </row>
    <row r="37" spans="13:18" ht="13.5" customHeight="1" x14ac:dyDescent="0.15">
      <c r="M37" s="448"/>
      <c r="N37" s="448"/>
      <c r="O37" s="448"/>
      <c r="P37" s="448"/>
      <c r="Q37" s="448"/>
      <c r="R37" s="448"/>
    </row>
    <row r="38" spans="13:18" ht="13.5" customHeight="1" x14ac:dyDescent="0.15">
      <c r="M38" s="448"/>
      <c r="N38" s="448"/>
      <c r="O38" s="448"/>
      <c r="P38" s="448"/>
      <c r="Q38" s="448"/>
      <c r="R38" s="448"/>
    </row>
    <row r="39" spans="13:18" ht="13.5" customHeight="1" x14ac:dyDescent="0.15">
      <c r="M39" s="448"/>
      <c r="N39" s="448"/>
      <c r="O39" s="448"/>
      <c r="P39" s="448"/>
      <c r="Q39" s="448"/>
      <c r="R39" s="448"/>
    </row>
    <row r="40" spans="13:18" ht="13.5" customHeight="1" x14ac:dyDescent="0.15">
      <c r="M40" s="448"/>
      <c r="N40" s="448"/>
      <c r="O40" s="448"/>
      <c r="P40" s="448"/>
      <c r="Q40" s="448"/>
      <c r="R40" s="448"/>
    </row>
    <row r="41" spans="13:18" ht="13.5" customHeight="1" x14ac:dyDescent="0.15">
      <c r="M41" s="448"/>
      <c r="N41" s="448"/>
      <c r="O41" s="448"/>
      <c r="P41" s="448"/>
      <c r="Q41" s="448"/>
      <c r="R41" s="448"/>
    </row>
    <row r="42" spans="13:18" ht="13.5" customHeight="1" x14ac:dyDescent="0.15">
      <c r="M42" s="448"/>
      <c r="N42" s="448"/>
      <c r="O42" s="448"/>
      <c r="P42" s="448"/>
      <c r="Q42" s="448"/>
      <c r="R42" s="448"/>
    </row>
    <row r="43" spans="13:18" ht="13.5" customHeight="1" x14ac:dyDescent="0.15">
      <c r="M43" s="448"/>
      <c r="N43" s="448"/>
      <c r="O43" s="448"/>
      <c r="P43" s="448"/>
      <c r="Q43" s="448"/>
      <c r="R43" s="448"/>
    </row>
    <row r="44" spans="13:18" ht="13.5" customHeight="1" x14ac:dyDescent="0.15">
      <c r="M44" s="448"/>
      <c r="N44" s="448"/>
      <c r="O44" s="448"/>
      <c r="P44" s="448"/>
      <c r="Q44" s="448"/>
      <c r="R44" s="448"/>
    </row>
    <row r="45" spans="13:18" ht="13.5" customHeight="1" x14ac:dyDescent="0.15">
      <c r="M45" s="453"/>
      <c r="N45" s="454" t="s">
        <v>349</v>
      </c>
      <c r="O45" s="454" t="s">
        <v>350</v>
      </c>
      <c r="P45" s="448"/>
      <c r="Q45" s="448"/>
      <c r="R45" s="448"/>
    </row>
    <row r="46" spans="13:18" ht="13.5" customHeight="1" x14ac:dyDescent="0.15">
      <c r="M46" s="455" t="s">
        <v>300</v>
      </c>
      <c r="N46" s="452">
        <f>IFERROR(VLOOKUP($M46,年齢区分＿65歳以上[#All],2,FALSE),0)</f>
        <v>1277</v>
      </c>
      <c r="O46" s="452">
        <f>IFERROR(VLOOKUP($M46,年齢区分＿65歳以上＿寛解・院内寛解[#All],2,FALSE),0)</f>
        <v>135</v>
      </c>
      <c r="P46" s="448"/>
      <c r="Q46" s="448"/>
      <c r="R46" s="448"/>
    </row>
    <row r="47" spans="13:18" ht="13.5" customHeight="1" x14ac:dyDescent="0.15">
      <c r="M47" s="455" t="s">
        <v>301</v>
      </c>
      <c r="N47" s="452">
        <f>IFERROR(VLOOKUP($M47,年齢区分＿65歳以上[#All],2,FALSE),0)</f>
        <v>2013</v>
      </c>
      <c r="O47" s="452">
        <f>IFERROR(VLOOKUP($M47,年齢区分＿65歳以上＿寛解・院内寛解[#All],2,FALSE),0)</f>
        <v>184</v>
      </c>
      <c r="P47" s="448"/>
      <c r="Q47" s="448"/>
      <c r="R47" s="448"/>
    </row>
    <row r="48" spans="13:18" ht="13.5" customHeight="1" x14ac:dyDescent="0.15">
      <c r="M48" s="455" t="s">
        <v>302</v>
      </c>
      <c r="N48" s="452">
        <f>IFERROR(VLOOKUP($M48,年齢区分＿65歳以上[#All],2,FALSE),0)</f>
        <v>1715</v>
      </c>
      <c r="O48" s="452">
        <f>IFERROR(VLOOKUP($M48,年齢区分＿65歳以上＿寛解・院内寛解[#All],2,FALSE),0)</f>
        <v>176</v>
      </c>
      <c r="P48" s="448"/>
      <c r="Q48" s="448"/>
      <c r="R48" s="448"/>
    </row>
    <row r="49" spans="13:18" ht="13.5" customHeight="1" x14ac:dyDescent="0.15">
      <c r="M49" s="455" t="s">
        <v>303</v>
      </c>
      <c r="N49" s="452">
        <f>IFERROR(VLOOKUP($M49,年齢区分＿65歳以上[#All],2,FALSE),0)</f>
        <v>1901</v>
      </c>
      <c r="O49" s="452">
        <f>IFERROR(VLOOKUP($M49,年齢区分＿65歳以上＿寛解・院内寛解[#All],2,FALSE),0)</f>
        <v>150</v>
      </c>
      <c r="P49" s="448"/>
      <c r="Q49" s="448"/>
      <c r="R49" s="448"/>
    </row>
    <row r="50" spans="13:18" ht="13.5" customHeight="1" x14ac:dyDescent="0.15">
      <c r="M50" s="455" t="s">
        <v>304</v>
      </c>
      <c r="N50" s="452">
        <f>IFERROR(VLOOKUP($M50,年齢区分＿65歳以上[#All],2,FALSE),0)</f>
        <v>1413</v>
      </c>
      <c r="O50" s="452">
        <f>IFERROR(VLOOKUP($M50,年齢区分＿65歳以上＿寛解・院内寛解[#All],2,FALSE),0)</f>
        <v>138</v>
      </c>
      <c r="P50" s="448"/>
      <c r="Q50" s="448"/>
      <c r="R50" s="448"/>
    </row>
    <row r="51" spans="13:18" ht="13.5" customHeight="1" x14ac:dyDescent="0.15">
      <c r="M51" s="455" t="s">
        <v>10</v>
      </c>
      <c r="N51" s="452">
        <f>IFERROR(VLOOKUP($M51,年齢区分＿65歳以上[#All],2,FALSE),0)</f>
        <v>738</v>
      </c>
      <c r="O51" s="452">
        <f>IFERROR(VLOOKUP($M51,年齢区分＿65歳以上＿寛解・院内寛解[#All],2,FALSE),0)</f>
        <v>51</v>
      </c>
      <c r="P51" s="448"/>
      <c r="Q51" s="448"/>
      <c r="R51" s="448"/>
    </row>
  </sheetData>
  <phoneticPr fontId="2"/>
  <pageMargins left="0.44270833333333331" right="0.41666666666666669" top="0.60606060606060608" bottom="0.51136363636363635" header="0.3" footer="0.3"/>
  <pageSetup paperSize="9" orientation="portrait" r:id="rId1"/>
  <headerFooter>
    <oddHeader>&amp;C&amp;"游ゴシック,太字"&amp;14R4年度　大阪府の在院患者の状況&amp;R&amp;"游ゴシック,標準"&amp;10R4.6.30時点</oddHeader>
    <oddFooter>&amp;R&amp;"メイリオ,レギュラー"&amp;10&amp;F</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7" tint="-0.249977111117893"/>
  </sheetPr>
  <dimension ref="M4:AC58"/>
  <sheetViews>
    <sheetView view="pageBreakPreview" zoomScale="60" zoomScaleNormal="100" workbookViewId="0">
      <selection activeCell="L1" sqref="L1:AC1048576"/>
    </sheetView>
  </sheetViews>
  <sheetFormatPr defaultRowHeight="13.5" customHeight="1" x14ac:dyDescent="0.15"/>
  <cols>
    <col min="10" max="10" width="6.5" customWidth="1"/>
    <col min="11" max="11" width="7.25" customWidth="1"/>
    <col min="13" max="13" width="4.125" customWidth="1"/>
    <col min="14" max="14" width="35.875" customWidth="1"/>
    <col min="15" max="15" width="9.5" customWidth="1"/>
    <col min="16" max="18" width="9.125" customWidth="1"/>
    <col min="19" max="28" width="9" customWidth="1"/>
  </cols>
  <sheetData>
    <row r="4" spans="13:29" ht="13.5" customHeight="1" x14ac:dyDescent="0.15">
      <c r="M4" s="495"/>
      <c r="N4" s="496"/>
      <c r="O4" s="447" t="s">
        <v>0</v>
      </c>
      <c r="P4" s="447" t="s">
        <v>114</v>
      </c>
      <c r="Q4" s="447" t="s">
        <v>116</v>
      </c>
      <c r="R4" s="447" t="s">
        <v>12</v>
      </c>
      <c r="S4" s="448"/>
      <c r="T4" s="448"/>
      <c r="U4" s="448"/>
      <c r="V4" s="448"/>
      <c r="W4" s="448"/>
      <c r="X4" s="448"/>
      <c r="Y4" s="448"/>
      <c r="Z4" s="448"/>
      <c r="AA4" s="448"/>
      <c r="AB4" s="448"/>
      <c r="AC4" s="448"/>
    </row>
    <row r="5" spans="13:29" ht="13.5" customHeight="1" x14ac:dyDescent="0.15">
      <c r="M5" s="1033" t="s">
        <v>120</v>
      </c>
      <c r="N5" s="1034"/>
      <c r="O5" s="493">
        <f>'２-Ⅲ'!C5</f>
        <v>4235</v>
      </c>
      <c r="P5" s="494">
        <f>'２-Ⅲ'!H5</f>
        <v>68</v>
      </c>
      <c r="Q5" s="493">
        <f>'２-Ⅲ'!I5</f>
        <v>260</v>
      </c>
      <c r="R5" s="493">
        <f t="shared" ref="R5:R16" si="0">SUM(P5:Q5)</f>
        <v>328</v>
      </c>
      <c r="S5" s="448"/>
      <c r="T5" s="497" t="s">
        <v>352</v>
      </c>
      <c r="U5" s="497" t="s">
        <v>295</v>
      </c>
      <c r="V5" s="448"/>
      <c r="W5" s="448"/>
      <c r="X5" s="448"/>
      <c r="Y5" s="448"/>
      <c r="Z5" s="448"/>
      <c r="AA5" s="448"/>
      <c r="AB5" s="448"/>
      <c r="AC5" s="448"/>
    </row>
    <row r="6" spans="13:29" ht="13.5" customHeight="1" x14ac:dyDescent="0.15">
      <c r="M6" s="1035" t="s">
        <v>20</v>
      </c>
      <c r="N6" s="1036"/>
      <c r="O6" s="494">
        <f>'２-Ⅲ'!C9</f>
        <v>813</v>
      </c>
      <c r="P6" s="494">
        <f>'２-Ⅲ'!H9</f>
        <v>76</v>
      </c>
      <c r="Q6" s="494">
        <f>'２-Ⅲ'!I9</f>
        <v>157</v>
      </c>
      <c r="R6" s="493">
        <f t="shared" si="0"/>
        <v>233</v>
      </c>
      <c r="S6" s="448"/>
      <c r="T6" s="497" t="s">
        <v>353</v>
      </c>
      <c r="U6" s="497" t="s">
        <v>284</v>
      </c>
      <c r="V6" s="448"/>
      <c r="W6" s="448"/>
      <c r="X6" s="448"/>
      <c r="Y6" s="448"/>
      <c r="Z6" s="448"/>
      <c r="AA6" s="448"/>
      <c r="AB6" s="448"/>
      <c r="AC6" s="448"/>
    </row>
    <row r="7" spans="13:29" ht="13.5" customHeight="1" x14ac:dyDescent="0.15">
      <c r="M7" s="1035" t="s">
        <v>73</v>
      </c>
      <c r="N7" s="1036"/>
      <c r="O7" s="494">
        <f>'２-Ⅲ'!C10</f>
        <v>7329</v>
      </c>
      <c r="P7" s="494">
        <f>'２-Ⅲ'!H10</f>
        <v>113</v>
      </c>
      <c r="Q7" s="494">
        <f>'２-Ⅲ'!I10</f>
        <v>516</v>
      </c>
      <c r="R7" s="493">
        <f t="shared" si="0"/>
        <v>629</v>
      </c>
      <c r="S7" s="448"/>
      <c r="T7" s="497" t="s">
        <v>315</v>
      </c>
      <c r="U7" s="497" t="s">
        <v>285</v>
      </c>
      <c r="V7" s="448"/>
      <c r="W7" s="448"/>
      <c r="X7" s="448"/>
      <c r="Y7" s="448"/>
      <c r="Z7" s="448"/>
      <c r="AA7" s="448"/>
      <c r="AB7" s="448"/>
      <c r="AC7" s="448"/>
    </row>
    <row r="8" spans="13:29" ht="13.5" customHeight="1" x14ac:dyDescent="0.15">
      <c r="M8" s="1035" t="s">
        <v>22</v>
      </c>
      <c r="N8" s="1036"/>
      <c r="O8" s="494">
        <f>'２-Ⅲ'!C11</f>
        <v>1533</v>
      </c>
      <c r="P8" s="494">
        <f>'２-Ⅲ'!H11</f>
        <v>70</v>
      </c>
      <c r="Q8" s="494">
        <f>'２-Ⅲ'!I11</f>
        <v>227</v>
      </c>
      <c r="R8" s="493">
        <f t="shared" si="0"/>
        <v>297</v>
      </c>
      <c r="S8" s="448"/>
      <c r="T8" s="497" t="s">
        <v>316</v>
      </c>
      <c r="U8" s="497" t="s">
        <v>286</v>
      </c>
      <c r="V8" s="448"/>
      <c r="W8" s="448"/>
      <c r="X8" s="448"/>
      <c r="Y8" s="448"/>
      <c r="Z8" s="448"/>
      <c r="AA8" s="448"/>
      <c r="AB8" s="448"/>
      <c r="AC8" s="448"/>
    </row>
    <row r="9" spans="13:29" ht="13.5" customHeight="1" x14ac:dyDescent="0.15">
      <c r="M9" s="1035" t="s">
        <v>24</v>
      </c>
      <c r="N9" s="1036"/>
      <c r="O9" s="494">
        <f>'２-Ⅲ'!C12</f>
        <v>272</v>
      </c>
      <c r="P9" s="494">
        <f>'２-Ⅲ'!H12</f>
        <v>29</v>
      </c>
      <c r="Q9" s="494">
        <f>'２-Ⅲ'!I12</f>
        <v>48</v>
      </c>
      <c r="R9" s="493">
        <f t="shared" si="0"/>
        <v>77</v>
      </c>
      <c r="S9" s="448"/>
      <c r="T9" s="497" t="s">
        <v>317</v>
      </c>
      <c r="U9" s="497" t="s">
        <v>312</v>
      </c>
      <c r="V9" s="448"/>
      <c r="W9" s="448"/>
      <c r="X9" s="448"/>
      <c r="Y9" s="448"/>
      <c r="Z9" s="448"/>
      <c r="AA9" s="448"/>
      <c r="AB9" s="448"/>
      <c r="AC9" s="448"/>
    </row>
    <row r="10" spans="13:29" ht="13.5" customHeight="1" x14ac:dyDescent="0.15">
      <c r="M10" s="1035" t="s">
        <v>25</v>
      </c>
      <c r="N10" s="1036"/>
      <c r="O10" s="494">
        <f>'２-Ⅲ'!C13</f>
        <v>33</v>
      </c>
      <c r="P10" s="494">
        <f>'２-Ⅲ'!H13</f>
        <v>3</v>
      </c>
      <c r="Q10" s="494">
        <f>'２-Ⅲ'!I13</f>
        <v>1</v>
      </c>
      <c r="R10" s="493">
        <f t="shared" si="0"/>
        <v>4</v>
      </c>
      <c r="S10" s="448"/>
      <c r="T10" s="497" t="s">
        <v>318</v>
      </c>
      <c r="U10" s="497" t="s">
        <v>313</v>
      </c>
      <c r="V10" s="448"/>
      <c r="W10" s="448"/>
      <c r="X10" s="448"/>
      <c r="Y10" s="448"/>
      <c r="Z10" s="448"/>
      <c r="AA10" s="448"/>
      <c r="AB10" s="448"/>
      <c r="AC10" s="448"/>
    </row>
    <row r="11" spans="13:29" ht="13.5" customHeight="1" x14ac:dyDescent="0.15">
      <c r="M11" s="1035" t="s">
        <v>256</v>
      </c>
      <c r="N11" s="1036"/>
      <c r="O11" s="494">
        <f>'２-Ⅲ'!C14</f>
        <v>54</v>
      </c>
      <c r="P11" s="494">
        <f>'２-Ⅲ'!H14</f>
        <v>5</v>
      </c>
      <c r="Q11" s="494">
        <f>'２-Ⅲ'!I14</f>
        <v>9</v>
      </c>
      <c r="R11" s="493">
        <f t="shared" si="0"/>
        <v>14</v>
      </c>
      <c r="S11" s="448"/>
      <c r="T11" s="497" t="s">
        <v>319</v>
      </c>
      <c r="U11" s="497" t="s">
        <v>287</v>
      </c>
      <c r="V11" s="448"/>
      <c r="W11" s="448"/>
      <c r="X11" s="448"/>
      <c r="Y11" s="448"/>
      <c r="Z11" s="448"/>
      <c r="AA11" s="448"/>
      <c r="AB11" s="448"/>
      <c r="AC11" s="448"/>
    </row>
    <row r="12" spans="13:29" ht="13.5" customHeight="1" x14ac:dyDescent="0.15">
      <c r="M12" s="1035" t="s">
        <v>257</v>
      </c>
      <c r="N12" s="1036"/>
      <c r="O12" s="494">
        <f>'２-Ⅲ'!C15</f>
        <v>288</v>
      </c>
      <c r="P12" s="494">
        <f>'２-Ⅲ'!H15</f>
        <v>6</v>
      </c>
      <c r="Q12" s="494">
        <f>'２-Ⅲ'!I15</f>
        <v>18</v>
      </c>
      <c r="R12" s="493">
        <f t="shared" si="0"/>
        <v>24</v>
      </c>
      <c r="S12" s="448"/>
      <c r="T12" s="497" t="s">
        <v>320</v>
      </c>
      <c r="U12" s="497" t="s">
        <v>288</v>
      </c>
      <c r="V12" s="448"/>
      <c r="W12" s="448"/>
      <c r="X12" s="448"/>
      <c r="Y12" s="448"/>
      <c r="Z12" s="448"/>
      <c r="AA12" s="448"/>
      <c r="AB12" s="448"/>
      <c r="AC12" s="448"/>
    </row>
    <row r="13" spans="13:29" ht="13.5" customHeight="1" x14ac:dyDescent="0.15">
      <c r="M13" s="1035" t="s">
        <v>23</v>
      </c>
      <c r="N13" s="1036"/>
      <c r="O13" s="494">
        <f>'２-Ⅲ'!C16</f>
        <v>165</v>
      </c>
      <c r="P13" s="494">
        <f>'２-Ⅲ'!H16</f>
        <v>4</v>
      </c>
      <c r="Q13" s="494">
        <f>'２-Ⅲ'!I16</f>
        <v>23</v>
      </c>
      <c r="R13" s="493">
        <f t="shared" si="0"/>
        <v>27</v>
      </c>
      <c r="S13" s="448"/>
      <c r="T13" s="497" t="s">
        <v>321</v>
      </c>
      <c r="U13" s="497" t="s">
        <v>289</v>
      </c>
      <c r="V13" s="448"/>
      <c r="W13" s="448"/>
      <c r="X13" s="448"/>
      <c r="Y13" s="448"/>
      <c r="Z13" s="448"/>
      <c r="AA13" s="448"/>
      <c r="AB13" s="448"/>
      <c r="AC13" s="448"/>
    </row>
    <row r="14" spans="13:29" ht="13.5" customHeight="1" x14ac:dyDescent="0.15">
      <c r="M14" s="1035" t="s">
        <v>258</v>
      </c>
      <c r="N14" s="1037"/>
      <c r="O14" s="494">
        <f>'２-Ⅲ'!C17</f>
        <v>43</v>
      </c>
      <c r="P14" s="494">
        <f>'２-Ⅲ'!H17</f>
        <v>2</v>
      </c>
      <c r="Q14" s="494">
        <f>'２-Ⅲ'!I17</f>
        <v>6</v>
      </c>
      <c r="R14" s="493">
        <f t="shared" si="0"/>
        <v>8</v>
      </c>
      <c r="S14" s="448"/>
      <c r="T14" s="497" t="s">
        <v>322</v>
      </c>
      <c r="U14" s="497" t="s">
        <v>290</v>
      </c>
      <c r="V14" s="448"/>
      <c r="W14" s="448"/>
      <c r="X14" s="448"/>
      <c r="Y14" s="448"/>
      <c r="Z14" s="448"/>
      <c r="AA14" s="448"/>
      <c r="AB14" s="448"/>
      <c r="AC14" s="448"/>
    </row>
    <row r="15" spans="13:29" ht="13.5" customHeight="1" x14ac:dyDescent="0.15">
      <c r="M15" s="1035" t="s">
        <v>123</v>
      </c>
      <c r="N15" s="1038"/>
      <c r="O15" s="494">
        <f>'２-Ⅲ'!C18</f>
        <v>48</v>
      </c>
      <c r="P15" s="494">
        <f>'２-Ⅲ'!H18</f>
        <v>0</v>
      </c>
      <c r="Q15" s="494">
        <f>'２-Ⅲ'!I18</f>
        <v>4</v>
      </c>
      <c r="R15" s="493">
        <f t="shared" si="0"/>
        <v>4</v>
      </c>
      <c r="S15" s="448"/>
      <c r="T15" s="497" t="s">
        <v>354</v>
      </c>
      <c r="U15" s="497" t="s">
        <v>291</v>
      </c>
      <c r="V15" s="448"/>
      <c r="W15" s="448"/>
      <c r="X15" s="448"/>
      <c r="Y15" s="448"/>
      <c r="Z15" s="448"/>
      <c r="AA15" s="448"/>
      <c r="AB15" s="448"/>
      <c r="AC15" s="448"/>
    </row>
    <row r="16" spans="13:29" ht="13.5" customHeight="1" x14ac:dyDescent="0.15">
      <c r="M16" s="1039" t="s">
        <v>18</v>
      </c>
      <c r="N16" s="1040"/>
      <c r="O16" s="494">
        <f>'２-Ⅲ'!C19</f>
        <v>178</v>
      </c>
      <c r="P16" s="494">
        <f>'２-Ⅲ'!H19</f>
        <v>3</v>
      </c>
      <c r="Q16" s="494">
        <f>'２-Ⅲ'!I19</f>
        <v>9</v>
      </c>
      <c r="R16" s="493">
        <f t="shared" si="0"/>
        <v>12</v>
      </c>
      <c r="S16" s="448"/>
      <c r="T16" s="497" t="s">
        <v>103</v>
      </c>
      <c r="U16" s="497" t="s">
        <v>296</v>
      </c>
      <c r="V16" s="448"/>
      <c r="W16" s="448"/>
      <c r="X16" s="448"/>
      <c r="Y16" s="448"/>
      <c r="Z16" s="448"/>
      <c r="AA16" s="448"/>
      <c r="AB16" s="448"/>
      <c r="AC16" s="448"/>
    </row>
    <row r="17" spans="13:29" ht="13.5" customHeight="1" x14ac:dyDescent="0.15">
      <c r="M17" s="448"/>
      <c r="N17" s="448"/>
      <c r="O17" s="448"/>
      <c r="P17" s="448"/>
      <c r="Q17" s="448"/>
      <c r="R17" s="448"/>
      <c r="S17" s="448"/>
      <c r="T17" s="448"/>
      <c r="U17" s="497" t="s">
        <v>292</v>
      </c>
      <c r="V17" s="448"/>
      <c r="W17" s="448"/>
      <c r="X17" s="448"/>
      <c r="Y17" s="448"/>
      <c r="Z17" s="448"/>
      <c r="AA17" s="448"/>
      <c r="AB17" s="448"/>
      <c r="AC17" s="448"/>
    </row>
    <row r="18" spans="13:29" ht="13.5" customHeight="1" x14ac:dyDescent="0.15">
      <c r="M18" s="448"/>
      <c r="N18" s="448"/>
      <c r="O18" s="448"/>
      <c r="P18" s="448"/>
      <c r="Q18" s="448"/>
      <c r="R18" s="448"/>
      <c r="S18" s="448"/>
      <c r="T18" s="448"/>
      <c r="U18" s="497" t="s">
        <v>293</v>
      </c>
      <c r="V18" s="448"/>
      <c r="W18" s="448"/>
      <c r="X18" s="448"/>
      <c r="Y18" s="448"/>
      <c r="Z18" s="448"/>
      <c r="AA18" s="448"/>
      <c r="AB18" s="448"/>
      <c r="AC18" s="448"/>
    </row>
    <row r="19" spans="13:29" ht="13.5" customHeight="1" x14ac:dyDescent="0.15">
      <c r="M19" s="448"/>
      <c r="N19" s="448"/>
      <c r="O19" s="448"/>
      <c r="P19" s="448"/>
      <c r="Q19" s="448"/>
      <c r="R19" s="448"/>
      <c r="S19" s="448"/>
      <c r="T19" s="448"/>
      <c r="U19" s="497" t="s">
        <v>297</v>
      </c>
      <c r="V19" s="448"/>
      <c r="W19" s="448"/>
      <c r="X19" s="448"/>
      <c r="Y19" s="448"/>
      <c r="Z19" s="448"/>
      <c r="AA19" s="448"/>
      <c r="AB19" s="448"/>
      <c r="AC19" s="448"/>
    </row>
    <row r="20" spans="13:29" ht="13.5" customHeight="1" x14ac:dyDescent="0.15">
      <c r="M20" s="448"/>
      <c r="N20" s="448"/>
      <c r="O20" s="448"/>
      <c r="P20" s="448"/>
      <c r="Q20" s="448"/>
      <c r="R20" s="448"/>
      <c r="S20" s="448"/>
      <c r="T20" s="448"/>
      <c r="U20" s="497" t="s">
        <v>294</v>
      </c>
      <c r="V20" s="448"/>
      <c r="W20" s="448"/>
      <c r="X20" s="448"/>
      <c r="Y20" s="448"/>
      <c r="Z20" s="448"/>
      <c r="AA20" s="448"/>
      <c r="AB20" s="448"/>
      <c r="AC20" s="448"/>
    </row>
    <row r="21" spans="13:29" ht="13.5" customHeight="1" x14ac:dyDescent="0.15">
      <c r="M21" s="448"/>
      <c r="N21" s="448"/>
      <c r="O21" s="448"/>
      <c r="P21" s="448"/>
      <c r="Q21" s="448"/>
      <c r="R21" s="448"/>
      <c r="S21" s="448"/>
      <c r="T21" s="448"/>
      <c r="U21" s="497" t="s">
        <v>18</v>
      </c>
      <c r="V21" s="448"/>
      <c r="W21" s="448"/>
      <c r="X21" s="448"/>
      <c r="Y21" s="448"/>
      <c r="Z21" s="448"/>
      <c r="AA21" s="448"/>
      <c r="AB21" s="448"/>
      <c r="AC21" s="448"/>
    </row>
    <row r="22" spans="13:29" ht="13.5" customHeight="1" x14ac:dyDescent="0.15">
      <c r="M22" s="448"/>
      <c r="N22" s="448"/>
      <c r="O22" s="448"/>
      <c r="P22" s="448"/>
      <c r="Q22" s="448"/>
      <c r="R22" s="448"/>
      <c r="S22" s="448"/>
      <c r="T22" s="448"/>
      <c r="U22" s="448"/>
      <c r="V22" s="448"/>
      <c r="W22" s="448"/>
      <c r="X22" s="448"/>
      <c r="Y22" s="448"/>
      <c r="Z22" s="448"/>
      <c r="AA22" s="448"/>
      <c r="AB22" s="448"/>
      <c r="AC22" s="448"/>
    </row>
    <row r="23" spans="13:29" ht="13.5" customHeight="1" x14ac:dyDescent="0.15">
      <c r="M23" s="498"/>
      <c r="N23" s="499"/>
      <c r="O23" s="500" t="s">
        <v>0</v>
      </c>
      <c r="P23" s="500" t="s">
        <v>114</v>
      </c>
      <c r="Q23" s="500" t="s">
        <v>116</v>
      </c>
      <c r="R23" s="500" t="s">
        <v>12</v>
      </c>
      <c r="S23" s="448"/>
      <c r="T23" s="448"/>
      <c r="U23" s="448"/>
      <c r="V23" s="448"/>
      <c r="W23" s="448"/>
      <c r="X23" s="448"/>
      <c r="Y23" s="448"/>
      <c r="Z23" s="448"/>
      <c r="AA23" s="448"/>
      <c r="AB23" s="448"/>
      <c r="AC23" s="448"/>
    </row>
    <row r="24" spans="13:29" ht="13.5" customHeight="1" x14ac:dyDescent="0.15">
      <c r="M24" s="1033" t="s">
        <v>120</v>
      </c>
      <c r="N24" s="1034"/>
      <c r="O24" s="493">
        <f>'３-Ⅲ'!C5</f>
        <v>2117</v>
      </c>
      <c r="P24" s="494">
        <f>'３-Ⅲ'!H5</f>
        <v>8</v>
      </c>
      <c r="Q24" s="493">
        <f>'３-Ⅲ'!I5</f>
        <v>79</v>
      </c>
      <c r="R24" s="493">
        <f t="shared" ref="R24:R35" si="1">SUM(P24:Q24)</f>
        <v>87</v>
      </c>
      <c r="S24" s="448"/>
      <c r="T24" s="448"/>
      <c r="U24" s="448"/>
      <c r="V24" s="448"/>
      <c r="W24" s="448"/>
      <c r="X24" s="448"/>
      <c r="Y24" s="448"/>
      <c r="Z24" s="448"/>
      <c r="AA24" s="448"/>
      <c r="AB24" s="448"/>
      <c r="AC24" s="448"/>
    </row>
    <row r="25" spans="13:29" ht="13.5" customHeight="1" x14ac:dyDescent="0.15">
      <c r="M25" s="1035" t="s">
        <v>20</v>
      </c>
      <c r="N25" s="1036"/>
      <c r="O25" s="494">
        <f>'３-Ⅲ'!C9</f>
        <v>329</v>
      </c>
      <c r="P25" s="494">
        <f>'３-Ⅲ'!H9</f>
        <v>5</v>
      </c>
      <c r="Q25" s="493">
        <f>'３-Ⅲ'!I9</f>
        <v>30</v>
      </c>
      <c r="R25" s="493">
        <f t="shared" si="1"/>
        <v>35</v>
      </c>
      <c r="S25" s="448"/>
      <c r="T25" s="448"/>
      <c r="U25" s="448"/>
      <c r="V25" s="448"/>
      <c r="W25" s="448"/>
      <c r="X25" s="448"/>
      <c r="Y25" s="448"/>
      <c r="Z25" s="448"/>
      <c r="AA25" s="448"/>
      <c r="AB25" s="448"/>
      <c r="AC25" s="448"/>
    </row>
    <row r="26" spans="13:29" ht="13.5" customHeight="1" x14ac:dyDescent="0.15">
      <c r="M26" s="1035" t="s">
        <v>73</v>
      </c>
      <c r="N26" s="1036"/>
      <c r="O26" s="494">
        <f>'３-Ⅲ'!C10</f>
        <v>5271</v>
      </c>
      <c r="P26" s="494">
        <f>'３-Ⅲ'!H10</f>
        <v>39</v>
      </c>
      <c r="Q26" s="493">
        <f>'３-Ⅲ'!I10</f>
        <v>270</v>
      </c>
      <c r="R26" s="493">
        <f t="shared" si="1"/>
        <v>309</v>
      </c>
      <c r="S26" s="448"/>
      <c r="T26" s="448"/>
      <c r="U26" s="448"/>
      <c r="V26" s="448"/>
      <c r="W26" s="448"/>
      <c r="X26" s="448"/>
      <c r="Y26" s="448"/>
      <c r="Z26" s="448"/>
      <c r="AA26" s="448"/>
      <c r="AB26" s="448"/>
      <c r="AC26" s="448"/>
    </row>
    <row r="27" spans="13:29" ht="13.5" customHeight="1" x14ac:dyDescent="0.15">
      <c r="M27" s="1035" t="s">
        <v>22</v>
      </c>
      <c r="N27" s="1036"/>
      <c r="O27" s="494">
        <f>'３-Ⅲ'!C11</f>
        <v>625</v>
      </c>
      <c r="P27" s="494">
        <f>'３-Ⅲ'!H11</f>
        <v>10</v>
      </c>
      <c r="Q27" s="493">
        <f>'３-Ⅲ'!I11</f>
        <v>57</v>
      </c>
      <c r="R27" s="493">
        <f t="shared" si="1"/>
        <v>67</v>
      </c>
      <c r="S27" s="448"/>
      <c r="T27" s="448"/>
      <c r="U27" s="448"/>
      <c r="V27" s="448"/>
      <c r="W27" s="448"/>
      <c r="X27" s="448"/>
      <c r="Y27" s="448"/>
      <c r="Z27" s="448"/>
      <c r="AA27" s="448"/>
      <c r="AB27" s="448"/>
      <c r="AC27" s="448"/>
    </row>
    <row r="28" spans="13:29" ht="13.5" customHeight="1" x14ac:dyDescent="0.15">
      <c r="M28" s="1035" t="s">
        <v>24</v>
      </c>
      <c r="N28" s="1036"/>
      <c r="O28" s="494">
        <f>'３-Ⅲ'!C12</f>
        <v>74</v>
      </c>
      <c r="P28" s="494">
        <f>'３-Ⅲ'!H12</f>
        <v>0</v>
      </c>
      <c r="Q28" s="493">
        <f>'３-Ⅲ'!I12</f>
        <v>8</v>
      </c>
      <c r="R28" s="493">
        <f t="shared" si="1"/>
        <v>8</v>
      </c>
      <c r="S28" s="448"/>
      <c r="T28" s="448"/>
      <c r="U28" s="448"/>
      <c r="V28" s="448"/>
      <c r="W28" s="448"/>
      <c r="X28" s="448"/>
      <c r="Y28" s="448"/>
      <c r="Z28" s="448"/>
      <c r="AA28" s="448"/>
      <c r="AB28" s="448"/>
      <c r="AC28" s="448"/>
    </row>
    <row r="29" spans="13:29" ht="13.5" customHeight="1" x14ac:dyDescent="0.15">
      <c r="M29" s="1035" t="s">
        <v>25</v>
      </c>
      <c r="N29" s="1036"/>
      <c r="O29" s="494">
        <f>'３-Ⅲ'!C13</f>
        <v>5</v>
      </c>
      <c r="P29" s="494">
        <f>'３-Ⅲ'!H13</f>
        <v>0</v>
      </c>
      <c r="Q29" s="493">
        <f>'３-Ⅲ'!I13</f>
        <v>0</v>
      </c>
      <c r="R29" s="493">
        <f t="shared" si="1"/>
        <v>0</v>
      </c>
      <c r="S29" s="448"/>
      <c r="T29" s="448"/>
      <c r="U29" s="448"/>
      <c r="V29" s="448"/>
      <c r="W29" s="448"/>
      <c r="X29" s="448"/>
      <c r="Y29" s="448"/>
      <c r="Z29" s="448"/>
      <c r="AA29" s="448"/>
      <c r="AB29" s="448"/>
      <c r="AC29" s="448"/>
    </row>
    <row r="30" spans="13:29" ht="13.5" customHeight="1" x14ac:dyDescent="0.15">
      <c r="M30" s="1035" t="s">
        <v>256</v>
      </c>
      <c r="N30" s="1036"/>
      <c r="O30" s="494">
        <f>'３-Ⅲ'!C14</f>
        <v>18</v>
      </c>
      <c r="P30" s="494">
        <f>'３-Ⅲ'!H14</f>
        <v>0</v>
      </c>
      <c r="Q30" s="493">
        <f>'３-Ⅲ'!I14</f>
        <v>3</v>
      </c>
      <c r="R30" s="493">
        <f t="shared" si="1"/>
        <v>3</v>
      </c>
      <c r="S30" s="448"/>
      <c r="T30" s="448"/>
      <c r="U30" s="448"/>
      <c r="V30" s="448"/>
      <c r="W30" s="448"/>
      <c r="X30" s="448"/>
      <c r="Y30" s="448"/>
      <c r="Z30" s="448"/>
      <c r="AA30" s="448"/>
      <c r="AB30" s="448"/>
      <c r="AC30" s="448"/>
    </row>
    <row r="31" spans="13:29" ht="13.5" customHeight="1" x14ac:dyDescent="0.15">
      <c r="M31" s="1035" t="s">
        <v>257</v>
      </c>
      <c r="N31" s="1036"/>
      <c r="O31" s="494">
        <f>'３-Ⅲ'!C15</f>
        <v>152</v>
      </c>
      <c r="P31" s="494">
        <f>'３-Ⅲ'!H15</f>
        <v>1</v>
      </c>
      <c r="Q31" s="493">
        <f>'３-Ⅲ'!I15</f>
        <v>5</v>
      </c>
      <c r="R31" s="493">
        <f t="shared" si="1"/>
        <v>6</v>
      </c>
      <c r="S31" s="448"/>
      <c r="T31" s="448"/>
      <c r="U31" s="448"/>
      <c r="V31" s="448"/>
      <c r="W31" s="448"/>
      <c r="X31" s="448"/>
      <c r="Y31" s="448"/>
      <c r="Z31" s="448"/>
      <c r="AA31" s="448"/>
      <c r="AB31" s="448"/>
      <c r="AC31" s="448"/>
    </row>
    <row r="32" spans="13:29" ht="13.5" customHeight="1" x14ac:dyDescent="0.15">
      <c r="M32" s="1035" t="s">
        <v>23</v>
      </c>
      <c r="N32" s="1036"/>
      <c r="O32" s="494">
        <f>'３-Ⅲ'!C16</f>
        <v>47</v>
      </c>
      <c r="P32" s="494">
        <f>'３-Ⅲ'!H16</f>
        <v>0</v>
      </c>
      <c r="Q32" s="493">
        <f>'３-Ⅲ'!I16</f>
        <v>3</v>
      </c>
      <c r="R32" s="493">
        <f t="shared" si="1"/>
        <v>3</v>
      </c>
      <c r="S32" s="448"/>
      <c r="T32" s="448"/>
      <c r="U32" s="448"/>
      <c r="V32" s="448"/>
      <c r="W32" s="448"/>
      <c r="X32" s="448"/>
      <c r="Y32" s="448"/>
      <c r="Z32" s="448"/>
      <c r="AA32" s="448"/>
      <c r="AB32" s="448"/>
      <c r="AC32" s="448"/>
    </row>
    <row r="33" spans="13:29" ht="13.5" customHeight="1" x14ac:dyDescent="0.15">
      <c r="M33" s="1035" t="s">
        <v>258</v>
      </c>
      <c r="N33" s="1037"/>
      <c r="O33" s="494">
        <f>'３-Ⅲ'!C17</f>
        <v>9</v>
      </c>
      <c r="P33" s="494">
        <f>'３-Ⅲ'!H17</f>
        <v>0</v>
      </c>
      <c r="Q33" s="493">
        <f>'３-Ⅲ'!I17</f>
        <v>0</v>
      </c>
      <c r="R33" s="493">
        <f t="shared" si="1"/>
        <v>0</v>
      </c>
      <c r="S33" s="448"/>
      <c r="T33" s="448"/>
      <c r="U33" s="448"/>
      <c r="V33" s="448"/>
      <c r="W33" s="448"/>
      <c r="X33" s="448"/>
      <c r="Y33" s="448"/>
      <c r="Z33" s="448"/>
      <c r="AA33" s="448"/>
      <c r="AB33" s="448"/>
      <c r="AC33" s="448"/>
    </row>
    <row r="34" spans="13:29" ht="13.5" customHeight="1" x14ac:dyDescent="0.15">
      <c r="M34" s="1035" t="s">
        <v>123</v>
      </c>
      <c r="N34" s="1038"/>
      <c r="O34" s="494">
        <f>'３-Ⅲ'!C18</f>
        <v>36</v>
      </c>
      <c r="P34" s="494">
        <f>'３-Ⅲ'!H18</f>
        <v>0</v>
      </c>
      <c r="Q34" s="493">
        <f>'３-Ⅲ'!I18</f>
        <v>2</v>
      </c>
      <c r="R34" s="493">
        <f t="shared" si="1"/>
        <v>2</v>
      </c>
      <c r="S34" s="448"/>
      <c r="T34" s="448"/>
      <c r="U34" s="448"/>
      <c r="V34" s="448"/>
      <c r="W34" s="448"/>
      <c r="X34" s="448"/>
      <c r="Y34" s="448"/>
      <c r="Z34" s="448"/>
      <c r="AA34" s="448"/>
      <c r="AB34" s="448"/>
      <c r="AC34" s="448"/>
    </row>
    <row r="35" spans="13:29" ht="13.5" customHeight="1" x14ac:dyDescent="0.15">
      <c r="M35" s="1039" t="s">
        <v>18</v>
      </c>
      <c r="N35" s="1040"/>
      <c r="O35" s="494">
        <f>'３-Ⅲ'!C19</f>
        <v>81</v>
      </c>
      <c r="P35" s="494">
        <f>'３-Ⅲ'!H19</f>
        <v>0</v>
      </c>
      <c r="Q35" s="493">
        <f>'３-Ⅲ'!I19</f>
        <v>1</v>
      </c>
      <c r="R35" s="493">
        <f t="shared" si="1"/>
        <v>1</v>
      </c>
      <c r="S35" s="448"/>
      <c r="T35" s="448"/>
      <c r="U35" s="448"/>
      <c r="V35" s="448"/>
      <c r="W35" s="448"/>
      <c r="X35" s="448"/>
      <c r="Y35" s="448"/>
      <c r="Z35" s="448"/>
      <c r="AA35" s="448"/>
      <c r="AB35" s="448"/>
      <c r="AC35" s="448"/>
    </row>
    <row r="36" spans="13:29" ht="13.5" customHeight="1" x14ac:dyDescent="0.15">
      <c r="M36" s="448"/>
      <c r="N36" s="448"/>
      <c r="O36" s="448"/>
      <c r="P36" s="448"/>
      <c r="Q36" s="448"/>
      <c r="R36" s="448"/>
      <c r="S36" s="448"/>
      <c r="T36" s="448"/>
      <c r="U36" s="448"/>
      <c r="V36" s="448"/>
      <c r="W36" s="448"/>
      <c r="X36" s="448"/>
      <c r="Y36" s="448"/>
      <c r="Z36" s="448"/>
      <c r="AA36" s="448"/>
      <c r="AB36" s="448"/>
      <c r="AC36" s="448"/>
    </row>
    <row r="37" spans="13:29" ht="13.5" customHeight="1" x14ac:dyDescent="0.15">
      <c r="M37" s="448"/>
      <c r="N37" s="448"/>
      <c r="O37" s="448"/>
      <c r="P37" s="448"/>
      <c r="Q37" s="448"/>
      <c r="R37" s="448"/>
      <c r="S37" s="448"/>
      <c r="T37" s="448"/>
      <c r="U37" s="448"/>
      <c r="V37" s="448"/>
      <c r="W37" s="448"/>
      <c r="X37" s="448"/>
      <c r="Y37" s="448"/>
      <c r="Z37" s="448"/>
      <c r="AA37" s="448"/>
      <c r="AB37" s="448"/>
      <c r="AC37" s="448"/>
    </row>
    <row r="38" spans="13:29" ht="13.5" customHeight="1" x14ac:dyDescent="0.15">
      <c r="M38" s="448"/>
      <c r="N38" s="448"/>
      <c r="O38" s="448"/>
      <c r="P38" s="448"/>
      <c r="Q38" s="448"/>
      <c r="R38" s="448"/>
      <c r="S38" s="448"/>
      <c r="T38" s="448"/>
      <c r="U38" s="448"/>
      <c r="V38" s="448"/>
      <c r="W38" s="448"/>
      <c r="X38" s="448"/>
      <c r="Y38" s="448"/>
      <c r="Z38" s="448"/>
      <c r="AA38" s="448"/>
      <c r="AB38" s="448"/>
      <c r="AC38" s="448"/>
    </row>
    <row r="39" spans="13:29" ht="13.5" customHeight="1" x14ac:dyDescent="0.15">
      <c r="M39" s="448"/>
      <c r="N39" s="448"/>
      <c r="O39" s="448"/>
      <c r="P39" s="448"/>
      <c r="Q39" s="448"/>
      <c r="R39" s="448"/>
      <c r="S39" s="448"/>
      <c r="T39" s="448"/>
      <c r="U39" s="448"/>
      <c r="V39" s="448"/>
      <c r="W39" s="448"/>
      <c r="X39" s="448"/>
      <c r="Y39" s="448"/>
      <c r="Z39" s="448"/>
      <c r="AA39" s="448"/>
      <c r="AB39" s="448"/>
      <c r="AC39" s="448"/>
    </row>
    <row r="40" spans="13:29" ht="13.5" customHeight="1" x14ac:dyDescent="0.15">
      <c r="M40" s="448"/>
      <c r="N40" s="448"/>
      <c r="O40" s="448"/>
      <c r="P40" s="448"/>
      <c r="Q40" s="448"/>
      <c r="R40" s="448"/>
      <c r="S40" s="448"/>
      <c r="T40" s="448"/>
      <c r="U40" s="448"/>
      <c r="V40" s="448"/>
      <c r="W40" s="448"/>
      <c r="X40" s="448"/>
      <c r="Y40" s="448"/>
      <c r="Z40" s="448"/>
      <c r="AA40" s="448"/>
      <c r="AB40" s="448"/>
      <c r="AC40" s="448"/>
    </row>
    <row r="41" spans="13:29" ht="13.5" customHeight="1" x14ac:dyDescent="0.15">
      <c r="M41" s="448"/>
      <c r="N41" s="448"/>
      <c r="O41" s="448"/>
      <c r="P41" s="448"/>
      <c r="Q41" s="448"/>
      <c r="R41" s="448"/>
      <c r="S41" s="448"/>
      <c r="T41" s="448"/>
      <c r="U41" s="448"/>
      <c r="V41" s="448"/>
      <c r="W41" s="448"/>
      <c r="X41" s="448"/>
      <c r="Y41" s="448"/>
      <c r="Z41" s="448"/>
      <c r="AA41" s="448"/>
      <c r="AB41" s="448"/>
      <c r="AC41" s="448"/>
    </row>
    <row r="42" spans="13:29" ht="13.5" customHeight="1" x14ac:dyDescent="0.15">
      <c r="M42" s="448"/>
      <c r="N42" s="448"/>
      <c r="O42" s="448"/>
      <c r="P42" s="448"/>
      <c r="Q42" s="448"/>
      <c r="R42" s="448"/>
      <c r="S42" s="448"/>
      <c r="T42" s="448"/>
      <c r="U42" s="448"/>
      <c r="V42" s="448"/>
      <c r="W42" s="448"/>
      <c r="X42" s="448"/>
      <c r="Y42" s="448"/>
      <c r="Z42" s="448"/>
      <c r="AA42" s="448"/>
      <c r="AB42" s="448"/>
      <c r="AC42" s="448"/>
    </row>
    <row r="43" spans="13:29" ht="13.5" customHeight="1" x14ac:dyDescent="0.15">
      <c r="M43" s="448"/>
      <c r="N43" s="448"/>
      <c r="O43" s="448"/>
      <c r="P43" s="448"/>
      <c r="Q43" s="448"/>
      <c r="R43" s="448"/>
      <c r="S43" s="448"/>
      <c r="T43" s="448"/>
      <c r="U43" s="448"/>
      <c r="V43" s="448"/>
      <c r="W43" s="448"/>
      <c r="X43" s="448"/>
      <c r="Y43" s="448"/>
      <c r="Z43" s="448"/>
      <c r="AA43" s="448"/>
      <c r="AB43" s="448"/>
      <c r="AC43" s="448"/>
    </row>
    <row r="44" spans="13:29" ht="13.5" customHeight="1" x14ac:dyDescent="0.15">
      <c r="M44" s="448"/>
      <c r="N44" s="448"/>
      <c r="O44" s="448"/>
      <c r="P44" s="448"/>
      <c r="Q44" s="448"/>
      <c r="R44" s="448"/>
      <c r="S44" s="448"/>
      <c r="T44" s="448"/>
      <c r="U44" s="448"/>
      <c r="V44" s="448"/>
      <c r="W44" s="448"/>
      <c r="X44" s="448"/>
      <c r="Y44" s="448"/>
      <c r="Z44" s="448"/>
      <c r="AA44" s="448"/>
      <c r="AB44" s="448"/>
      <c r="AC44" s="448"/>
    </row>
    <row r="45" spans="13:29" ht="13.5" customHeight="1" x14ac:dyDescent="0.15">
      <c r="M45" s="501"/>
      <c r="N45" s="502"/>
      <c r="O45" s="503" t="s">
        <v>0</v>
      </c>
      <c r="P45" s="504" t="s">
        <v>350</v>
      </c>
      <c r="Q45" s="505"/>
      <c r="R45" s="506"/>
      <c r="S45" s="448"/>
      <c r="T45" s="448"/>
      <c r="U45" s="448"/>
      <c r="V45" s="448"/>
      <c r="W45" s="448"/>
      <c r="X45" s="448"/>
      <c r="Y45" s="448"/>
      <c r="Z45" s="448"/>
      <c r="AA45" s="448"/>
      <c r="AB45" s="448"/>
      <c r="AC45" s="448"/>
    </row>
    <row r="46" spans="13:29" ht="13.5" customHeight="1" x14ac:dyDescent="0.15">
      <c r="M46" s="1033" t="s">
        <v>120</v>
      </c>
      <c r="N46" s="1034"/>
      <c r="O46" s="493">
        <f>'４-Ⅲ'!D6</f>
        <v>3927</v>
      </c>
      <c r="P46" s="494">
        <f>'４-Ⅲ'!D27</f>
        <v>296</v>
      </c>
      <c r="Q46" s="507"/>
      <c r="R46" s="508"/>
      <c r="S46" s="448"/>
      <c r="T46" s="448"/>
      <c r="U46" s="448"/>
      <c r="V46" s="448"/>
      <c r="W46" s="448"/>
      <c r="X46" s="448"/>
      <c r="Y46" s="448"/>
      <c r="Z46" s="448"/>
      <c r="AA46" s="448"/>
      <c r="AB46" s="448"/>
      <c r="AC46" s="448"/>
    </row>
    <row r="47" spans="13:29" ht="13.5" customHeight="1" x14ac:dyDescent="0.15">
      <c r="M47" s="1035" t="s">
        <v>20</v>
      </c>
      <c r="N47" s="1036"/>
      <c r="O47" s="494">
        <f>'４-Ⅲ'!D10</f>
        <v>385</v>
      </c>
      <c r="P47" s="494">
        <f>'４-Ⅲ'!D31</f>
        <v>88</v>
      </c>
      <c r="Q47" s="507"/>
      <c r="R47" s="508"/>
      <c r="S47" s="448"/>
      <c r="T47" s="448"/>
      <c r="U47" s="448"/>
      <c r="V47" s="448"/>
      <c r="W47" s="448"/>
      <c r="X47" s="448"/>
      <c r="Y47" s="448"/>
      <c r="Z47" s="448"/>
      <c r="AA47" s="448"/>
      <c r="AB47" s="448"/>
      <c r="AC47" s="448"/>
    </row>
    <row r="48" spans="13:29" ht="13.5" customHeight="1" x14ac:dyDescent="0.15">
      <c r="M48" s="1035" t="s">
        <v>73</v>
      </c>
      <c r="N48" s="1036"/>
      <c r="O48" s="494">
        <f>'４-Ⅲ'!D11</f>
        <v>3459</v>
      </c>
      <c r="P48" s="494">
        <f>'４-Ⅲ'!D32</f>
        <v>257</v>
      </c>
      <c r="Q48" s="507"/>
      <c r="R48" s="508"/>
      <c r="S48" s="448"/>
      <c r="T48" s="448"/>
      <c r="U48" s="448"/>
      <c r="V48" s="448"/>
      <c r="W48" s="448"/>
      <c r="X48" s="448"/>
      <c r="Y48" s="448"/>
      <c r="Z48" s="448"/>
      <c r="AA48" s="448"/>
      <c r="AB48" s="448"/>
      <c r="AC48" s="448"/>
    </row>
    <row r="49" spans="13:29" ht="13.5" customHeight="1" x14ac:dyDescent="0.15">
      <c r="M49" s="1035" t="s">
        <v>22</v>
      </c>
      <c r="N49" s="1036"/>
      <c r="O49" s="494">
        <f>'４-Ⅲ'!D12</f>
        <v>954</v>
      </c>
      <c r="P49" s="494">
        <f>'４-Ⅲ'!D33</f>
        <v>149</v>
      </c>
      <c r="Q49" s="507"/>
      <c r="R49" s="508"/>
      <c r="S49" s="448"/>
      <c r="T49" s="448"/>
      <c r="U49" s="448"/>
      <c r="V49" s="448"/>
      <c r="W49" s="448"/>
      <c r="X49" s="448"/>
      <c r="Y49" s="448"/>
      <c r="Z49" s="448"/>
      <c r="AA49" s="448"/>
      <c r="AB49" s="448"/>
      <c r="AC49" s="448"/>
    </row>
    <row r="50" spans="13:29" ht="13.5" customHeight="1" x14ac:dyDescent="0.15">
      <c r="M50" s="1035" t="s">
        <v>24</v>
      </c>
      <c r="N50" s="1036"/>
      <c r="O50" s="494">
        <f>'４-Ⅲ'!D13</f>
        <v>101</v>
      </c>
      <c r="P50" s="494">
        <f>'４-Ⅲ'!D34</f>
        <v>22</v>
      </c>
      <c r="Q50" s="507"/>
      <c r="R50" s="508"/>
      <c r="S50" s="448"/>
      <c r="T50" s="448"/>
      <c r="U50" s="448"/>
      <c r="V50" s="448"/>
      <c r="W50" s="448"/>
      <c r="X50" s="448"/>
      <c r="Y50" s="448"/>
      <c r="Z50" s="448"/>
      <c r="AA50" s="448"/>
      <c r="AB50" s="448"/>
      <c r="AC50" s="448"/>
    </row>
    <row r="51" spans="13:29" ht="13.5" customHeight="1" x14ac:dyDescent="0.15">
      <c r="M51" s="1035" t="s">
        <v>25</v>
      </c>
      <c r="N51" s="1036"/>
      <c r="O51" s="494">
        <f>'４-Ⅲ'!D14</f>
        <v>2</v>
      </c>
      <c r="P51" s="494">
        <f>'４-Ⅲ'!D35</f>
        <v>0</v>
      </c>
      <c r="Q51" s="507"/>
      <c r="R51" s="508"/>
      <c r="S51" s="448"/>
      <c r="T51" s="448"/>
      <c r="U51" s="448"/>
      <c r="V51" s="448"/>
      <c r="W51" s="448"/>
      <c r="X51" s="448"/>
      <c r="Y51" s="448"/>
      <c r="Z51" s="448"/>
      <c r="AA51" s="448"/>
      <c r="AB51" s="448"/>
      <c r="AC51" s="448"/>
    </row>
    <row r="52" spans="13:29" ht="13.5" customHeight="1" x14ac:dyDescent="0.15">
      <c r="M52" s="1035" t="s">
        <v>256</v>
      </c>
      <c r="N52" s="1036"/>
      <c r="O52" s="494">
        <f>'４-Ⅲ'!D15</f>
        <v>10</v>
      </c>
      <c r="P52" s="494">
        <f>'４-Ⅲ'!D36</f>
        <v>4</v>
      </c>
      <c r="Q52" s="507"/>
      <c r="R52" s="508"/>
      <c r="S52" s="448"/>
      <c r="T52" s="448"/>
      <c r="U52" s="448"/>
      <c r="V52" s="448"/>
      <c r="W52" s="448"/>
      <c r="X52" s="448"/>
      <c r="Y52" s="448"/>
      <c r="Z52" s="448"/>
      <c r="AA52" s="448"/>
      <c r="AB52" s="448"/>
      <c r="AC52" s="448"/>
    </row>
    <row r="53" spans="13:29" ht="13.5" customHeight="1" x14ac:dyDescent="0.15">
      <c r="M53" s="1035" t="s">
        <v>257</v>
      </c>
      <c r="N53" s="1036"/>
      <c r="O53" s="494">
        <f>'４-Ⅲ'!D16</f>
        <v>53</v>
      </c>
      <c r="P53" s="494">
        <f>'４-Ⅲ'!D37</f>
        <v>3</v>
      </c>
      <c r="Q53" s="507"/>
      <c r="R53" s="508"/>
      <c r="S53" s="448"/>
      <c r="T53" s="448"/>
      <c r="U53" s="448"/>
      <c r="V53" s="448"/>
      <c r="W53" s="448"/>
      <c r="X53" s="448"/>
      <c r="Y53" s="448"/>
      <c r="Z53" s="448"/>
      <c r="AA53" s="448"/>
      <c r="AB53" s="448"/>
      <c r="AC53" s="448"/>
    </row>
    <row r="54" spans="13:29" ht="13.5" customHeight="1" x14ac:dyDescent="0.15">
      <c r="M54" s="1035" t="s">
        <v>23</v>
      </c>
      <c r="N54" s="1036"/>
      <c r="O54" s="494">
        <f>'４-Ⅲ'!D17</f>
        <v>9</v>
      </c>
      <c r="P54" s="494">
        <f>'４-Ⅲ'!D38</f>
        <v>2</v>
      </c>
      <c r="Q54" s="507"/>
      <c r="R54" s="508"/>
      <c r="S54" s="448"/>
      <c r="T54" s="448"/>
      <c r="U54" s="448"/>
      <c r="V54" s="448"/>
      <c r="W54" s="448"/>
      <c r="X54" s="448"/>
      <c r="Y54" s="448"/>
      <c r="Z54" s="448"/>
      <c r="AA54" s="448"/>
      <c r="AB54" s="448"/>
      <c r="AC54" s="448"/>
    </row>
    <row r="55" spans="13:29" ht="13.5" customHeight="1" x14ac:dyDescent="0.15">
      <c r="M55" s="1035" t="s">
        <v>258</v>
      </c>
      <c r="N55" s="1037"/>
      <c r="O55" s="494">
        <f>'４-Ⅲ'!D18</f>
        <v>11</v>
      </c>
      <c r="P55" s="494">
        <f>'４-Ⅲ'!D39</f>
        <v>1</v>
      </c>
      <c r="Q55" s="507"/>
      <c r="R55" s="508"/>
      <c r="S55" s="448"/>
      <c r="T55" s="448"/>
      <c r="U55" s="448"/>
      <c r="V55" s="448"/>
      <c r="W55" s="448"/>
      <c r="X55" s="448"/>
      <c r="Y55" s="448"/>
      <c r="Z55" s="448"/>
      <c r="AA55" s="448"/>
      <c r="AB55" s="448"/>
      <c r="AC55" s="448"/>
    </row>
    <row r="56" spans="13:29" ht="13.5" customHeight="1" x14ac:dyDescent="0.15">
      <c r="M56" s="1035" t="s">
        <v>123</v>
      </c>
      <c r="N56" s="1038"/>
      <c r="O56" s="494">
        <f>'４-Ⅲ'!D19</f>
        <v>18</v>
      </c>
      <c r="P56" s="494">
        <f>'４-Ⅲ'!D40</f>
        <v>4</v>
      </c>
      <c r="Q56" s="507"/>
      <c r="R56" s="508"/>
      <c r="S56" s="448"/>
      <c r="T56" s="448"/>
      <c r="U56" s="448"/>
      <c r="V56" s="448"/>
      <c r="W56" s="448"/>
      <c r="X56" s="448"/>
      <c r="Y56" s="448"/>
      <c r="Z56" s="448"/>
      <c r="AA56" s="448"/>
      <c r="AB56" s="448"/>
      <c r="AC56" s="448"/>
    </row>
    <row r="57" spans="13:29" ht="13.5" customHeight="1" x14ac:dyDescent="0.15">
      <c r="M57" s="1039" t="s">
        <v>18</v>
      </c>
      <c r="N57" s="1040"/>
      <c r="O57" s="494">
        <f>'４-Ⅲ'!D20</f>
        <v>128</v>
      </c>
      <c r="P57" s="494">
        <f>'４-Ⅲ'!D41</f>
        <v>8</v>
      </c>
      <c r="Q57" s="507"/>
      <c r="R57" s="508"/>
      <c r="S57" s="448"/>
      <c r="T57" s="448"/>
      <c r="U57" s="448"/>
      <c r="V57" s="448"/>
      <c r="W57" s="448"/>
      <c r="X57" s="448"/>
      <c r="Y57" s="448"/>
      <c r="Z57" s="448"/>
      <c r="AA57" s="448"/>
      <c r="AB57" s="448"/>
      <c r="AC57" s="448"/>
    </row>
    <row r="58" spans="13:29" ht="13.5" customHeight="1" x14ac:dyDescent="0.15">
      <c r="M58" s="448"/>
      <c r="N58" s="448"/>
      <c r="O58" s="448"/>
      <c r="P58" s="448"/>
      <c r="Q58" s="448"/>
      <c r="R58" s="448"/>
      <c r="S58" s="448"/>
      <c r="T58" s="448"/>
      <c r="U58" s="448"/>
      <c r="V58" s="448"/>
      <c r="W58" s="448"/>
      <c r="X58" s="448"/>
      <c r="Y58" s="448"/>
      <c r="Z58" s="448"/>
      <c r="AA58" s="448"/>
      <c r="AB58" s="448"/>
      <c r="AC58" s="448"/>
    </row>
  </sheetData>
  <mergeCells count="36">
    <mergeCell ref="M56:N56"/>
    <mergeCell ref="M57:N57"/>
    <mergeCell ref="M50:N50"/>
    <mergeCell ref="M51:N51"/>
    <mergeCell ref="M52:N52"/>
    <mergeCell ref="M53:N53"/>
    <mergeCell ref="M54:N54"/>
    <mergeCell ref="M55:N55"/>
    <mergeCell ref="M49:N49"/>
    <mergeCell ref="M28:N28"/>
    <mergeCell ref="M29:N29"/>
    <mergeCell ref="M30:N30"/>
    <mergeCell ref="M31:N31"/>
    <mergeCell ref="M32:N32"/>
    <mergeCell ref="M33:N33"/>
    <mergeCell ref="M34:N34"/>
    <mergeCell ref="M35:N35"/>
    <mergeCell ref="M46:N46"/>
    <mergeCell ref="M47:N47"/>
    <mergeCell ref="M48:N48"/>
    <mergeCell ref="M5:N5"/>
    <mergeCell ref="M27:N27"/>
    <mergeCell ref="M6:N6"/>
    <mergeCell ref="M7:N7"/>
    <mergeCell ref="M8:N8"/>
    <mergeCell ref="M9:N9"/>
    <mergeCell ref="M10:N10"/>
    <mergeCell ref="M11:N11"/>
    <mergeCell ref="M14:N14"/>
    <mergeCell ref="M15:N15"/>
    <mergeCell ref="M16:N16"/>
    <mergeCell ref="M12:N12"/>
    <mergeCell ref="M13:N13"/>
    <mergeCell ref="M24:N24"/>
    <mergeCell ref="M25:N25"/>
    <mergeCell ref="M26:N26"/>
  </mergeCells>
  <phoneticPr fontId="2"/>
  <pageMargins left="0.44270833333333331" right="0.41666666666666669" top="0.60606060606060608" bottom="0.51136363636363635" header="0.3" footer="0.3"/>
  <pageSetup paperSize="9" orientation="portrait" r:id="rId1"/>
  <headerFooter>
    <oddHeader>&amp;C&amp;"游ゴシック,太字"&amp;14R4年度　大阪府の在院患者の状況&amp;R&amp;"游ゴシック,標準"&amp;10R4.6.30時点</oddHeader>
    <oddFooter>&amp;R&amp;"メイリオ,レギュラー"&amp;10&amp;F</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7" tint="-0.249977111117893"/>
  </sheetPr>
  <dimension ref="L1:Q12"/>
  <sheetViews>
    <sheetView view="pageBreakPreview" topLeftCell="B1" zoomScale="90" zoomScaleNormal="100" zoomScaleSheetLayoutView="90" zoomScalePageLayoutView="110" workbookViewId="0">
      <selection activeCell="J1" sqref="J1:S1048576"/>
    </sheetView>
  </sheetViews>
  <sheetFormatPr defaultColWidth="9" defaultRowHeight="18.75" x14ac:dyDescent="0.15"/>
  <cols>
    <col min="1" max="11" width="9.5" style="1" customWidth="1"/>
    <col min="12" max="12" width="26" style="1" customWidth="1"/>
    <col min="13" max="17" width="11.625" style="1" customWidth="1"/>
    <col min="18" max="18" width="9" style="1" customWidth="1"/>
    <col min="19" max="16384" width="9" style="1"/>
  </cols>
  <sheetData>
    <row r="1" spans="12:17" x14ac:dyDescent="0.15">
      <c r="L1" s="9" t="s">
        <v>329</v>
      </c>
      <c r="M1" s="9"/>
      <c r="N1" s="9"/>
      <c r="O1" s="9"/>
      <c r="P1" s="9"/>
      <c r="Q1" s="9"/>
    </row>
    <row r="2" spans="12:17" x14ac:dyDescent="0.15">
      <c r="L2" s="9"/>
      <c r="M2" s="509" t="s">
        <v>0</v>
      </c>
      <c r="N2" s="509"/>
      <c r="O2" s="509"/>
      <c r="P2" s="510" t="s">
        <v>1</v>
      </c>
      <c r="Q2" s="12"/>
    </row>
    <row r="3" spans="12:17" s="139" customFormat="1" x14ac:dyDescent="0.15">
      <c r="L3" s="511" t="s">
        <v>278</v>
      </c>
      <c r="M3" s="512" t="s">
        <v>156</v>
      </c>
      <c r="N3" s="513" t="s">
        <v>88</v>
      </c>
      <c r="O3" s="513" t="s">
        <v>62</v>
      </c>
      <c r="P3" s="512" t="s">
        <v>156</v>
      </c>
      <c r="Q3" s="513" t="s">
        <v>88</v>
      </c>
    </row>
    <row r="4" spans="12:17" x14ac:dyDescent="0.15">
      <c r="L4" s="514" t="s">
        <v>69</v>
      </c>
      <c r="M4" s="515">
        <f>O4-N4</f>
        <v>2683</v>
      </c>
      <c r="N4" s="515">
        <f>'４-Ⅳ'!B23</f>
        <v>3545</v>
      </c>
      <c r="O4" s="515">
        <f>'２-Ⅳ'!B22</f>
        <v>6228</v>
      </c>
      <c r="P4" s="516">
        <f>IFERROR(M4/$O4,0)</f>
        <v>0.43079640333975594</v>
      </c>
      <c r="Q4" s="516">
        <f>IFERROR(N4/$O4,)</f>
        <v>0.569203596660244</v>
      </c>
    </row>
    <row r="5" spans="12:17" x14ac:dyDescent="0.15">
      <c r="L5" s="514" t="s">
        <v>326</v>
      </c>
      <c r="M5" s="515">
        <f t="shared" ref="M5:M7" si="0">O5-N5</f>
        <v>1506</v>
      </c>
      <c r="N5" s="515">
        <f>'４-Ⅳ'!B24</f>
        <v>3128</v>
      </c>
      <c r="O5" s="515">
        <f>'２-Ⅳ'!B23</f>
        <v>4634</v>
      </c>
      <c r="P5" s="516">
        <f>IFERROR(M5/$O5,0)</f>
        <v>0.3249892101855848</v>
      </c>
      <c r="Q5" s="516">
        <f t="shared" ref="Q5:Q12" si="1">IFERROR(N5/$O5,)</f>
        <v>0.6750107898144152</v>
      </c>
    </row>
    <row r="6" spans="12:17" x14ac:dyDescent="0.15">
      <c r="L6" s="514" t="s">
        <v>327</v>
      </c>
      <c r="M6" s="515">
        <f t="shared" si="0"/>
        <v>814</v>
      </c>
      <c r="N6" s="515">
        <f>'４-Ⅳ'!B25</f>
        <v>1095</v>
      </c>
      <c r="O6" s="515">
        <f>'２-Ⅳ'!B24</f>
        <v>1909</v>
      </c>
      <c r="P6" s="516">
        <f t="shared" ref="P6:P12" si="2">IFERROR(M6/$O6,0)</f>
        <v>0.42640125720272393</v>
      </c>
      <c r="Q6" s="516">
        <f t="shared" si="1"/>
        <v>0.57359874279727607</v>
      </c>
    </row>
    <row r="7" spans="12:17" x14ac:dyDescent="0.15">
      <c r="L7" s="514" t="s">
        <v>72</v>
      </c>
      <c r="M7" s="515">
        <f t="shared" si="0"/>
        <v>932</v>
      </c>
      <c r="N7" s="515">
        <f>'４-Ⅳ'!B26</f>
        <v>1289</v>
      </c>
      <c r="O7" s="515">
        <f>'２-Ⅳ'!B25</f>
        <v>2221</v>
      </c>
      <c r="P7" s="516">
        <f t="shared" si="2"/>
        <v>0.41963079693831606</v>
      </c>
      <c r="Q7" s="516">
        <f t="shared" si="1"/>
        <v>0.58036920306168394</v>
      </c>
    </row>
    <row r="8" spans="12:17" x14ac:dyDescent="0.15">
      <c r="L8" s="513" t="s">
        <v>328</v>
      </c>
      <c r="M8" s="512" t="s">
        <v>156</v>
      </c>
      <c r="N8" s="513" t="s">
        <v>88</v>
      </c>
      <c r="O8" s="513" t="s">
        <v>62</v>
      </c>
      <c r="P8" s="512" t="s">
        <v>156</v>
      </c>
      <c r="Q8" s="513" t="s">
        <v>88</v>
      </c>
    </row>
    <row r="9" spans="12:17" x14ac:dyDescent="0.15">
      <c r="L9" s="514" t="s">
        <v>69</v>
      </c>
      <c r="M9" s="515">
        <f>O9-N9</f>
        <v>622</v>
      </c>
      <c r="N9" s="515">
        <f>'４-Ⅳ'!D23</f>
        <v>514</v>
      </c>
      <c r="O9" s="515">
        <f>'２-Ⅳ'!H22</f>
        <v>1136</v>
      </c>
      <c r="P9" s="516">
        <f>IFERROR(M9/$O9,0)</f>
        <v>0.54753521126760563</v>
      </c>
      <c r="Q9" s="516">
        <f t="shared" si="1"/>
        <v>0.45246478873239437</v>
      </c>
    </row>
    <row r="10" spans="12:17" x14ac:dyDescent="0.15">
      <c r="L10" s="514" t="s">
        <v>326</v>
      </c>
      <c r="M10" s="515">
        <f t="shared" ref="M10:M12" si="3">O10-N10</f>
        <v>121</v>
      </c>
      <c r="N10" s="515">
        <f>'４-Ⅳ'!D24</f>
        <v>194</v>
      </c>
      <c r="O10" s="515">
        <f>'２-Ⅳ'!H23</f>
        <v>315</v>
      </c>
      <c r="P10" s="516">
        <f t="shared" si="2"/>
        <v>0.38412698412698415</v>
      </c>
      <c r="Q10" s="516">
        <f t="shared" si="1"/>
        <v>0.61587301587301591</v>
      </c>
    </row>
    <row r="11" spans="12:17" x14ac:dyDescent="0.15">
      <c r="L11" s="514" t="s">
        <v>327</v>
      </c>
      <c r="M11" s="515">
        <f t="shared" si="3"/>
        <v>44</v>
      </c>
      <c r="N11" s="515">
        <f>'４-Ⅳ'!D25</f>
        <v>58</v>
      </c>
      <c r="O11" s="515">
        <f>'２-Ⅳ'!H24</f>
        <v>102</v>
      </c>
      <c r="P11" s="516">
        <f t="shared" si="2"/>
        <v>0.43137254901960786</v>
      </c>
      <c r="Q11" s="516">
        <f t="shared" si="1"/>
        <v>0.56862745098039214</v>
      </c>
    </row>
    <row r="12" spans="12:17" x14ac:dyDescent="0.15">
      <c r="L12" s="514" t="s">
        <v>72</v>
      </c>
      <c r="M12" s="515">
        <f t="shared" si="3"/>
        <v>36</v>
      </c>
      <c r="N12" s="515">
        <f>'４-Ⅳ'!D26</f>
        <v>68</v>
      </c>
      <c r="O12" s="515">
        <f>'２-Ⅳ'!H25</f>
        <v>104</v>
      </c>
      <c r="P12" s="516">
        <f t="shared" si="2"/>
        <v>0.34615384615384615</v>
      </c>
      <c r="Q12" s="516">
        <f t="shared" si="1"/>
        <v>0.65384615384615385</v>
      </c>
    </row>
  </sheetData>
  <phoneticPr fontId="2"/>
  <pageMargins left="0.44270833333333331" right="0.41666666666666669" top="0.60606060606060608" bottom="0.51136363636363635" header="0.3" footer="0.3"/>
  <pageSetup paperSize="9" orientation="portrait" r:id="rId1"/>
  <headerFooter>
    <oddHeader>&amp;C&amp;"游ゴシック,太字"&amp;14R4年度　大阪府の在院患者の状況&amp;R&amp;"游ゴシック,標準"&amp;10R4.6.30時点</oddHeader>
    <oddFooter>&amp;R&amp;"メイリオ,レギュラー"&amp;10&amp;F</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7" tint="-0.249977111117893"/>
  </sheetPr>
  <dimension ref="L1:Q24"/>
  <sheetViews>
    <sheetView view="pageBreakPreview" topLeftCell="D1" zoomScaleNormal="100" zoomScaleSheetLayoutView="100" zoomScalePageLayoutView="110" workbookViewId="0">
      <selection activeCell="K1" sqref="K1:R1048576"/>
    </sheetView>
  </sheetViews>
  <sheetFormatPr defaultColWidth="9" defaultRowHeight="18.75" x14ac:dyDescent="0.15"/>
  <cols>
    <col min="1" max="11" width="9.5" style="1" customWidth="1"/>
    <col min="12" max="12" width="26" style="1" customWidth="1"/>
    <col min="13" max="17" width="11.625" style="1" customWidth="1"/>
    <col min="18" max="16384" width="9" style="1"/>
  </cols>
  <sheetData>
    <row r="1" spans="12:17" x14ac:dyDescent="0.15">
      <c r="L1" s="9" t="s">
        <v>329</v>
      </c>
      <c r="M1" s="9"/>
      <c r="N1" s="9"/>
      <c r="O1" s="9"/>
      <c r="P1" s="9"/>
      <c r="Q1" s="9"/>
    </row>
    <row r="2" spans="12:17" x14ac:dyDescent="0.15">
      <c r="L2" s="9"/>
      <c r="M2" s="509" t="s">
        <v>0</v>
      </c>
      <c r="N2" s="509"/>
      <c r="O2" s="509"/>
      <c r="P2" s="510" t="s">
        <v>1</v>
      </c>
      <c r="Q2" s="12"/>
    </row>
    <row r="3" spans="12:17" s="139" customFormat="1" x14ac:dyDescent="0.15">
      <c r="L3" s="511" t="s">
        <v>367</v>
      </c>
      <c r="M3" s="512" t="s">
        <v>306</v>
      </c>
      <c r="N3" s="530" t="s">
        <v>307</v>
      </c>
      <c r="O3" s="530" t="s">
        <v>368</v>
      </c>
      <c r="P3" s="512" t="s">
        <v>306</v>
      </c>
      <c r="Q3" s="530" t="s">
        <v>307</v>
      </c>
    </row>
    <row r="4" spans="12:17" x14ac:dyDescent="0.15">
      <c r="L4" s="514" t="s">
        <v>358</v>
      </c>
      <c r="M4" s="515">
        <f>O4-N4</f>
        <v>2683</v>
      </c>
      <c r="N4" s="515">
        <f>'４-Ⅳ'!B23</f>
        <v>3545</v>
      </c>
      <c r="O4" s="515">
        <f>'２-Ⅳ'!B22</f>
        <v>6228</v>
      </c>
      <c r="P4" s="516">
        <f>IFERROR(M4/$O4,0)</f>
        <v>0.43079640333975594</v>
      </c>
      <c r="Q4" s="516">
        <f>IFERROR(N4/$O4,)</f>
        <v>0.569203596660244</v>
      </c>
    </row>
    <row r="5" spans="12:17" x14ac:dyDescent="0.15">
      <c r="L5" s="514" t="s">
        <v>359</v>
      </c>
      <c r="M5" s="515">
        <f>O5-N5</f>
        <v>1506</v>
      </c>
      <c r="N5" s="515">
        <f>'４-Ⅳ'!B24</f>
        <v>3128</v>
      </c>
      <c r="O5" s="515">
        <f>'２-Ⅳ'!B23</f>
        <v>4634</v>
      </c>
      <c r="P5" s="516">
        <f>IFERROR(M5/$O5,0)</f>
        <v>0.3249892101855848</v>
      </c>
      <c r="Q5" s="516">
        <f>IFERROR(N5/$O5,)</f>
        <v>0.6750107898144152</v>
      </c>
    </row>
    <row r="6" spans="12:17" x14ac:dyDescent="0.15">
      <c r="L6" s="514" t="s">
        <v>360</v>
      </c>
      <c r="M6" s="515">
        <f>O6-N6</f>
        <v>814</v>
      </c>
      <c r="N6" s="515">
        <f>'４-Ⅳ'!B25</f>
        <v>1095</v>
      </c>
      <c r="O6" s="515">
        <f>'２-Ⅳ'!B24</f>
        <v>1909</v>
      </c>
      <c r="P6" s="516">
        <f>IFERROR(M6/$O6,0)</f>
        <v>0.42640125720272393</v>
      </c>
      <c r="Q6" s="516">
        <f>IFERROR(N6/$O6,)</f>
        <v>0.57359874279727607</v>
      </c>
    </row>
    <row r="7" spans="12:17" x14ac:dyDescent="0.15">
      <c r="L7" s="514" t="s">
        <v>361</v>
      </c>
      <c r="M7" s="515">
        <f>O7-N7</f>
        <v>932</v>
      </c>
      <c r="N7" s="515">
        <f>'４-Ⅳ'!B26</f>
        <v>1289</v>
      </c>
      <c r="O7" s="515">
        <f>'２-Ⅳ'!B25</f>
        <v>2221</v>
      </c>
      <c r="P7" s="516">
        <f>IFERROR(M7/$O7,0)</f>
        <v>0.41963079693831606</v>
      </c>
      <c r="Q7" s="516">
        <f>IFERROR(N7/$O7,)</f>
        <v>0.58036920306168394</v>
      </c>
    </row>
    <row r="8" spans="12:17" x14ac:dyDescent="0.15">
      <c r="L8" s="530" t="s">
        <v>369</v>
      </c>
      <c r="M8" s="512" t="s">
        <v>306</v>
      </c>
      <c r="N8" s="530" t="s">
        <v>307</v>
      </c>
      <c r="O8" s="530" t="s">
        <v>368</v>
      </c>
      <c r="P8" s="512" t="s">
        <v>306</v>
      </c>
      <c r="Q8" s="530" t="s">
        <v>307</v>
      </c>
    </row>
    <row r="9" spans="12:17" x14ac:dyDescent="0.15">
      <c r="L9" s="514" t="s">
        <v>358</v>
      </c>
      <c r="M9" s="515">
        <f>O9-N9</f>
        <v>622</v>
      </c>
      <c r="N9" s="515">
        <f>'４-Ⅳ'!D23</f>
        <v>514</v>
      </c>
      <c r="O9" s="515">
        <f>'２-Ⅳ'!H22</f>
        <v>1136</v>
      </c>
      <c r="P9" s="516">
        <f>IFERROR(M9/$O9,0)</f>
        <v>0.54753521126760563</v>
      </c>
      <c r="Q9" s="516">
        <f>IFERROR(N9/$O9,)</f>
        <v>0.45246478873239437</v>
      </c>
    </row>
    <row r="10" spans="12:17" x14ac:dyDescent="0.15">
      <c r="L10" s="514" t="s">
        <v>359</v>
      </c>
      <c r="M10" s="515">
        <f>O10-N10</f>
        <v>121</v>
      </c>
      <c r="N10" s="515">
        <f>'４-Ⅳ'!D24</f>
        <v>194</v>
      </c>
      <c r="O10" s="515">
        <f>'２-Ⅳ'!H23</f>
        <v>315</v>
      </c>
      <c r="P10" s="516">
        <f>IFERROR(M10/$O10,0)</f>
        <v>0.38412698412698415</v>
      </c>
      <c r="Q10" s="516">
        <f>IFERROR(N10/$O10,)</f>
        <v>0.61587301587301591</v>
      </c>
    </row>
    <row r="11" spans="12:17" x14ac:dyDescent="0.15">
      <c r="L11" s="514" t="s">
        <v>360</v>
      </c>
      <c r="M11" s="515">
        <f>O11-N11</f>
        <v>44</v>
      </c>
      <c r="N11" s="515">
        <f>'４-Ⅳ'!D25</f>
        <v>58</v>
      </c>
      <c r="O11" s="515">
        <f>'２-Ⅳ'!H24</f>
        <v>102</v>
      </c>
      <c r="P11" s="516">
        <f>IFERROR(M11/$O11,0)</f>
        <v>0.43137254901960786</v>
      </c>
      <c r="Q11" s="516">
        <f>IFERROR(N11/$O11,)</f>
        <v>0.56862745098039214</v>
      </c>
    </row>
    <row r="12" spans="12:17" x14ac:dyDescent="0.15">
      <c r="L12" s="514" t="s">
        <v>361</v>
      </c>
      <c r="M12" s="515">
        <f>O12-N12</f>
        <v>36</v>
      </c>
      <c r="N12" s="515">
        <f>'４-Ⅳ'!D26</f>
        <v>68</v>
      </c>
      <c r="O12" s="515">
        <f>'２-Ⅳ'!H25</f>
        <v>104</v>
      </c>
      <c r="P12" s="516">
        <f>IFERROR(M12/$O12,0)</f>
        <v>0.34615384615384615</v>
      </c>
      <c r="Q12" s="516">
        <f>IFERROR(N12/$O12,)</f>
        <v>0.65384615384615385</v>
      </c>
    </row>
    <row r="17" spans="12:17" x14ac:dyDescent="0.15">
      <c r="L17" s="9" t="s">
        <v>329</v>
      </c>
      <c r="M17" s="9"/>
      <c r="N17" s="9"/>
      <c r="O17" s="9"/>
      <c r="P17" s="9"/>
      <c r="Q17" s="9"/>
    </row>
    <row r="18" spans="12:17" x14ac:dyDescent="0.15">
      <c r="L18" s="9"/>
      <c r="M18" s="509" t="s">
        <v>0</v>
      </c>
      <c r="N18" s="509"/>
      <c r="O18" s="509"/>
      <c r="P18" s="510" t="s">
        <v>1</v>
      </c>
      <c r="Q18" s="12"/>
    </row>
    <row r="19" spans="12:17" x14ac:dyDescent="0.15">
      <c r="L19" s="511" t="s">
        <v>278</v>
      </c>
      <c r="M19" s="512" t="s">
        <v>156</v>
      </c>
      <c r="N19" s="530" t="s">
        <v>88</v>
      </c>
      <c r="O19" s="530" t="s">
        <v>62</v>
      </c>
      <c r="P19" s="512" t="s">
        <v>156</v>
      </c>
      <c r="Q19" s="530" t="s">
        <v>88</v>
      </c>
    </row>
    <row r="20" spans="12:17" x14ac:dyDescent="0.15">
      <c r="L20" s="514" t="s">
        <v>69</v>
      </c>
      <c r="M20" s="515">
        <f>M4</f>
        <v>2683</v>
      </c>
      <c r="N20" s="515">
        <f>N4</f>
        <v>3545</v>
      </c>
      <c r="O20" s="515">
        <f>SUM(M20:N20)</f>
        <v>6228</v>
      </c>
      <c r="P20" s="516">
        <f>IFERROR(M20/$O20,0)</f>
        <v>0.43079640333975594</v>
      </c>
      <c r="Q20" s="516">
        <f>IFERROR(N20/$O20,)</f>
        <v>0.569203596660244</v>
      </c>
    </row>
    <row r="21" spans="12:17" x14ac:dyDescent="0.15">
      <c r="L21" s="514" t="s">
        <v>370</v>
      </c>
      <c r="M21" s="515">
        <f>SUM(M5:M7)</f>
        <v>3252</v>
      </c>
      <c r="N21" s="515">
        <f>SUM(N5:N7)</f>
        <v>5512</v>
      </c>
      <c r="O21" s="515">
        <f>SUM(M21:N21)</f>
        <v>8764</v>
      </c>
      <c r="P21" s="516">
        <f>IFERROR(M21/$O21,0)</f>
        <v>0.37106344135098129</v>
      </c>
      <c r="Q21" s="516">
        <f>IFERROR(N21/$O21,)</f>
        <v>0.62893655864901876</v>
      </c>
    </row>
    <row r="22" spans="12:17" x14ac:dyDescent="0.15">
      <c r="L22" s="530" t="s">
        <v>328</v>
      </c>
      <c r="M22" s="512" t="s">
        <v>156</v>
      </c>
      <c r="N22" s="530" t="s">
        <v>88</v>
      </c>
      <c r="O22" s="530" t="s">
        <v>62</v>
      </c>
      <c r="P22" s="512" t="s">
        <v>156</v>
      </c>
      <c r="Q22" s="530" t="s">
        <v>88</v>
      </c>
    </row>
    <row r="23" spans="12:17" x14ac:dyDescent="0.15">
      <c r="L23" s="514" t="s">
        <v>69</v>
      </c>
      <c r="M23" s="515">
        <f>M9</f>
        <v>622</v>
      </c>
      <c r="N23" s="515">
        <f>N9</f>
        <v>514</v>
      </c>
      <c r="O23" s="515">
        <f t="shared" ref="O23:O24" si="0">SUM(M23:N23)</f>
        <v>1136</v>
      </c>
      <c r="P23" s="516">
        <f>IFERROR(M23/$O23,0)</f>
        <v>0.54753521126760563</v>
      </c>
      <c r="Q23" s="516">
        <f>IFERROR(N23/$O23,)</f>
        <v>0.45246478873239437</v>
      </c>
    </row>
    <row r="24" spans="12:17" x14ac:dyDescent="0.15">
      <c r="L24" s="514" t="s">
        <v>370</v>
      </c>
      <c r="M24" s="515">
        <f>SUM(M10:M12)</f>
        <v>201</v>
      </c>
      <c r="N24" s="515">
        <f>SUM(N10:N12)</f>
        <v>320</v>
      </c>
      <c r="O24" s="515">
        <f t="shared" si="0"/>
        <v>521</v>
      </c>
      <c r="P24" s="516">
        <f>IFERROR(M24/$O24,0)</f>
        <v>0.38579654510556621</v>
      </c>
      <c r="Q24" s="516">
        <f>IFERROR(N24/$O24,)</f>
        <v>0.61420345489443373</v>
      </c>
    </row>
  </sheetData>
  <phoneticPr fontId="2"/>
  <pageMargins left="0.44270833333333331" right="0.41666666666666669" top="0.60606060606060608" bottom="0.51136363636363635" header="0.3" footer="0.3"/>
  <pageSetup paperSize="9" orientation="portrait" r:id="rId1"/>
  <headerFooter>
    <oddHeader>&amp;C&amp;"游ゴシック,太字"&amp;14R4年度　大阪府の在院患者の状況&amp;R&amp;"游ゴシック,標準"&amp;10R4.6.30時点</oddHeader>
    <oddFooter>&amp;R&amp;"メイリオ,レギュラー"&amp;10&amp;F</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7" tint="-0.249977111117893"/>
  </sheetPr>
  <dimension ref="B1:S34"/>
  <sheetViews>
    <sheetView view="pageBreakPreview" topLeftCell="A19" zoomScale="80" zoomScaleNormal="70" zoomScaleSheetLayoutView="80" zoomScalePageLayoutView="80" workbookViewId="0">
      <selection activeCell="H1" sqref="H1:L1048576"/>
    </sheetView>
  </sheetViews>
  <sheetFormatPr defaultColWidth="9" defaultRowHeight="28.5" customHeight="1" x14ac:dyDescent="0.15"/>
  <cols>
    <col min="1" max="1" width="4.75" style="1" customWidth="1"/>
    <col min="2" max="2" width="11.125" style="437" customWidth="1"/>
    <col min="3" max="3" width="38.25" style="1" customWidth="1"/>
    <col min="4" max="4" width="12.375" style="1" customWidth="1"/>
    <col min="5" max="5" width="38.25" style="1" customWidth="1"/>
    <col min="6" max="6" width="12.375" style="1" customWidth="1"/>
    <col min="7" max="7" width="7.125" style="1" customWidth="1"/>
    <col min="8" max="8" width="30.875" style="1" hidden="1" customWidth="1"/>
    <col min="9" max="10" width="9.5" style="1" hidden="1" customWidth="1"/>
    <col min="11" max="12" width="9" style="1" hidden="1" customWidth="1"/>
    <col min="13" max="13" width="9" style="1" customWidth="1"/>
    <col min="14" max="14" width="9.125" style="1" customWidth="1"/>
    <col min="15" max="15" width="28.5" style="1" customWidth="1"/>
    <col min="16" max="16" width="9.625" style="1" customWidth="1"/>
    <col min="17" max="19" width="9" style="1" customWidth="1"/>
    <col min="20" max="16384" width="9" style="1"/>
  </cols>
  <sheetData>
    <row r="1" spans="2:19" ht="88.5" customHeight="1" x14ac:dyDescent="0.15">
      <c r="H1" s="9" t="s">
        <v>348</v>
      </c>
      <c r="I1" s="9"/>
      <c r="J1" s="9"/>
      <c r="K1" s="9"/>
      <c r="L1" s="9"/>
      <c r="M1" s="9"/>
      <c r="N1" s="9"/>
      <c r="O1" s="9"/>
      <c r="P1" s="9"/>
      <c r="Q1" s="9"/>
      <c r="R1" s="9"/>
      <c r="S1" s="9"/>
    </row>
    <row r="2" spans="2:19" ht="63" customHeight="1" thickBot="1" x14ac:dyDescent="0.2">
      <c r="B2" s="1042" t="s">
        <v>341</v>
      </c>
      <c r="C2" s="1042"/>
      <c r="H2" s="517" t="s">
        <v>345</v>
      </c>
      <c r="I2" s="1041" t="s">
        <v>330</v>
      </c>
      <c r="J2" s="1041"/>
      <c r="K2" s="1041" t="s">
        <v>331</v>
      </c>
      <c r="L2" s="1041"/>
      <c r="M2" s="9"/>
      <c r="N2" s="9"/>
      <c r="O2" s="9"/>
      <c r="P2" s="9"/>
      <c r="Q2" s="9"/>
      <c r="R2" s="9"/>
      <c r="S2" s="9"/>
    </row>
    <row r="3" spans="2:19" ht="72" customHeight="1" x14ac:dyDescent="0.15">
      <c r="B3" s="440"/>
      <c r="C3" s="1043" t="str">
        <f>"全在院患者（"&amp;$I$9&amp;"人)中"</f>
        <v>全在院患者（1829人)中</v>
      </c>
      <c r="D3" s="1043"/>
      <c r="E3" s="1043" t="str">
        <f>"在院1年以上寛解・院内寛解群（"&amp;$K$9&amp;"人)中"</f>
        <v>在院1年以上寛解・院内寛解群（280人)中</v>
      </c>
      <c r="F3" s="1044"/>
      <c r="H3" s="518" t="s">
        <v>338</v>
      </c>
      <c r="I3" s="519">
        <f>'２-Ⅵ'!B5</f>
        <v>2075</v>
      </c>
      <c r="J3" s="516">
        <f>'２-Ⅵ'!C5</f>
        <v>0.13840715048025615</v>
      </c>
      <c r="K3" s="515">
        <f>'３-Ⅴ'!H5</f>
        <v>305</v>
      </c>
      <c r="L3" s="516">
        <f>'３-Ⅴ'!I5</f>
        <v>0.58541266794625724</v>
      </c>
      <c r="M3" s="9"/>
      <c r="N3" s="9"/>
      <c r="O3" s="9"/>
      <c r="P3" s="9"/>
      <c r="Q3" s="9"/>
      <c r="R3" s="9"/>
      <c r="S3" s="9"/>
    </row>
    <row r="4" spans="2:19" ht="72" customHeight="1" x14ac:dyDescent="0.15">
      <c r="B4" s="441">
        <v>1</v>
      </c>
      <c r="C4" s="438" t="str">
        <f>INDEX($H$15:$H$34,MATCH(B4,$M$15:$M$34,0))</f>
        <v>現実認識が乏しい</v>
      </c>
      <c r="D4" s="439">
        <f>LARGE($J$15:$J$34,B4)</f>
        <v>0.44067796610169491</v>
      </c>
      <c r="E4" s="438" t="str">
        <f>INDEX($H$15:$H$34,MATCH(B4,$N$15:$N$34,0))</f>
        <v>退院意欲が乏しい</v>
      </c>
      <c r="F4" s="442">
        <f>LARGE($L$15:$L$34,B4)</f>
        <v>0.5</v>
      </c>
      <c r="H4" s="518" t="s">
        <v>339</v>
      </c>
      <c r="I4" s="519">
        <f>'２-Ⅵ'!B6</f>
        <v>11296</v>
      </c>
      <c r="J4" s="516">
        <f>'２-Ⅵ'!C6</f>
        <v>0.75346851654215585</v>
      </c>
      <c r="K4" s="515">
        <f>'３-Ⅴ'!H6</f>
        <v>132</v>
      </c>
      <c r="L4" s="516">
        <f>'３-Ⅴ'!I6</f>
        <v>0.25335892514395392</v>
      </c>
      <c r="M4" s="9"/>
      <c r="N4" s="9"/>
      <c r="O4" s="9"/>
      <c r="P4" s="9"/>
      <c r="Q4" s="9"/>
      <c r="R4" s="9"/>
      <c r="S4" s="9"/>
    </row>
    <row r="5" spans="2:19" ht="72" customHeight="1" x14ac:dyDescent="0.15">
      <c r="B5" s="441">
        <v>2</v>
      </c>
      <c r="C5" s="438" t="str">
        <f>INDEX($H$15:$H$34,MATCH(B5,$M$15:$M$34,0))</f>
        <v>退院意欲が乏しい</v>
      </c>
      <c r="D5" s="439">
        <f>LARGE($J$15:$J$34,B5)</f>
        <v>0.37014762165117548</v>
      </c>
      <c r="E5" s="438" t="str">
        <f>INDEX($H$15:$H$34,MATCH(B5,$N$15:$N$34,0))</f>
        <v>退院による環境変化への不安が強い</v>
      </c>
      <c r="F5" s="442">
        <f>LARGE($L$15:$L$34,B5)</f>
        <v>0.3392857142857143</v>
      </c>
      <c r="H5" s="514" t="s">
        <v>36</v>
      </c>
      <c r="I5" s="519">
        <f>'２-Ⅵ'!B7</f>
        <v>1621</v>
      </c>
      <c r="J5" s="516">
        <f>'２-Ⅵ'!C7</f>
        <v>0.10812433297758804</v>
      </c>
      <c r="K5" s="515">
        <f>'３-Ⅴ'!H7</f>
        <v>84</v>
      </c>
      <c r="L5" s="516">
        <f>'３-Ⅴ'!I7</f>
        <v>0.16122840690978887</v>
      </c>
      <c r="M5" s="9"/>
      <c r="N5" s="9"/>
      <c r="O5" s="9"/>
      <c r="P5" s="9"/>
      <c r="Q5" s="9"/>
      <c r="R5" s="9"/>
      <c r="S5" s="9"/>
    </row>
    <row r="6" spans="2:19" ht="72" customHeight="1" x14ac:dyDescent="0.15">
      <c r="B6" s="441">
        <v>3</v>
      </c>
      <c r="C6" s="438" t="str">
        <f>INDEX($H$15:$H$34,MATCH(B6,$M$15:$M$34,0))</f>
        <v>病状は落ち着いているが、ときどき不安定な病状が見られ、そのことが退院を阻害する要因になっている</v>
      </c>
      <c r="D6" s="439">
        <f>LARGE($J$15:$J$34,B6)</f>
        <v>0.36632039365773644</v>
      </c>
      <c r="E6" s="438" t="str">
        <f>INDEX($H$15:$H$34,MATCH(B6,$N$15:$N$34,0))</f>
        <v>現実認識が乏しい</v>
      </c>
      <c r="F6" s="442">
        <f>LARGE($L$15:$L$34,B6)</f>
        <v>0.30357142857142855</v>
      </c>
      <c r="H6" s="514" t="s">
        <v>12</v>
      </c>
      <c r="I6" s="519">
        <f>'２-Ⅵ'!B8</f>
        <v>14992</v>
      </c>
      <c r="J6" s="516">
        <f>'２-Ⅵ'!C8</f>
        <v>1</v>
      </c>
      <c r="K6" s="515">
        <f>'３-Ⅴ'!H8</f>
        <v>521</v>
      </c>
      <c r="L6" s="516">
        <f>'３-Ⅴ'!I8</f>
        <v>1</v>
      </c>
      <c r="M6" s="9"/>
      <c r="N6" s="9"/>
      <c r="O6" s="9"/>
      <c r="P6" s="9"/>
      <c r="Q6" s="9"/>
      <c r="R6" s="9"/>
      <c r="S6" s="9"/>
    </row>
    <row r="7" spans="2:19" ht="72" customHeight="1" x14ac:dyDescent="0.15">
      <c r="B7" s="441">
        <v>4</v>
      </c>
      <c r="C7" s="438" t="str">
        <f>INDEX($H$15:$H$34,MATCH(B7,$M$15:$M$34,0))</f>
        <v>家事（食事・洗濯・金銭管理など）ができない</v>
      </c>
      <c r="D7" s="439">
        <f>LARGE($J$15:$J$34,B7)</f>
        <v>0.35210497539639146</v>
      </c>
      <c r="E7" s="438" t="str">
        <f>INDEX($H$15:$H$34,MATCH(B7,$N$15:$N$34,0))</f>
        <v>病状は落ち着いているが、ときどき不安定な病状が見られ、そのことが退院を阻害する要因になっている</v>
      </c>
      <c r="F7" s="442">
        <f>LARGE($L$15:$L$34,B7)</f>
        <v>0.28928571428571431</v>
      </c>
      <c r="H7" s="9"/>
      <c r="I7" s="9"/>
      <c r="J7" s="520"/>
      <c r="K7" s="9"/>
      <c r="L7" s="9"/>
      <c r="M7" s="9"/>
      <c r="N7" s="9"/>
      <c r="O7" s="9"/>
      <c r="P7" s="9"/>
      <c r="Q7" s="9"/>
      <c r="R7" s="9"/>
      <c r="S7" s="9"/>
    </row>
    <row r="8" spans="2:19" ht="72" customHeight="1" thickBot="1" x14ac:dyDescent="0.2">
      <c r="B8" s="443">
        <v>5</v>
      </c>
      <c r="C8" s="444" t="str">
        <f>INDEX($H$15:$H$34,MATCH(B8,$M$15:$M$34,0))</f>
        <v>住まいの確保ができない</v>
      </c>
      <c r="D8" s="445">
        <f>LARGE($J$15:$J$34,B8)</f>
        <v>0.33078184800437399</v>
      </c>
      <c r="E8" s="444" t="str">
        <f>INDEX($H$15:$H$34,MATCH(B8,$N$15:$N$34,0))</f>
        <v>家族が退院に反対している</v>
      </c>
      <c r="F8" s="446">
        <f>LARGE($L$15:$L$34,B8)</f>
        <v>0.2857142857142857</v>
      </c>
      <c r="H8" s="521" t="s">
        <v>346</v>
      </c>
      <c r="I8" s="1041" t="s">
        <v>330</v>
      </c>
      <c r="J8" s="1041"/>
      <c r="K8" s="1041" t="s">
        <v>331</v>
      </c>
      <c r="L8" s="1041"/>
      <c r="M8" s="9"/>
      <c r="N8" s="9"/>
      <c r="O8" s="517" t="s">
        <v>347</v>
      </c>
      <c r="P8" s="1041" t="s">
        <v>330</v>
      </c>
      <c r="Q8" s="1041"/>
      <c r="R8" s="1041" t="s">
        <v>331</v>
      </c>
      <c r="S8" s="1041"/>
    </row>
    <row r="9" spans="2:19" ht="63" customHeight="1" x14ac:dyDescent="0.15">
      <c r="H9" s="514" t="s">
        <v>34</v>
      </c>
      <c r="I9" s="519">
        <f>'２-Ⅵ'!B14</f>
        <v>1829</v>
      </c>
      <c r="J9" s="516">
        <f>'２-Ⅵ'!C14</f>
        <v>0.88144578313253008</v>
      </c>
      <c r="K9" s="519">
        <f>'３-Ⅴ'!H14</f>
        <v>280</v>
      </c>
      <c r="L9" s="516">
        <f>'３-Ⅴ'!I14</f>
        <v>0.91803278688524592</v>
      </c>
      <c r="M9" s="9"/>
      <c r="N9" s="9"/>
      <c r="O9" s="518" t="s">
        <v>343</v>
      </c>
      <c r="P9" s="519">
        <f>I4</f>
        <v>11296</v>
      </c>
      <c r="Q9" s="516">
        <f>IFERROR(P9/$P$13,0)</f>
        <v>0.75346851654215585</v>
      </c>
      <c r="R9" s="515">
        <f>K4</f>
        <v>132</v>
      </c>
      <c r="S9" s="516">
        <f>IFERROR(R9/$R$13,0)</f>
        <v>0.25335892514395392</v>
      </c>
    </row>
    <row r="10" spans="2:19" ht="63" customHeight="1" x14ac:dyDescent="0.15">
      <c r="H10" s="514" t="s">
        <v>340</v>
      </c>
      <c r="I10" s="519">
        <f>'２-Ⅵ'!B15</f>
        <v>246</v>
      </c>
      <c r="J10" s="516">
        <f>'２-Ⅵ'!C15</f>
        <v>0.11855421686746988</v>
      </c>
      <c r="K10" s="519">
        <f>'３-Ⅴ'!H15</f>
        <v>25</v>
      </c>
      <c r="L10" s="516">
        <f>'３-Ⅴ'!I15</f>
        <v>8.1967213114754092E-2</v>
      </c>
      <c r="M10" s="9"/>
      <c r="N10" s="9"/>
      <c r="O10" s="514" t="s">
        <v>344</v>
      </c>
      <c r="P10" s="519">
        <f>I5</f>
        <v>1621</v>
      </c>
      <c r="Q10" s="516">
        <f t="shared" ref="Q10:Q13" si="0">IFERROR(P10/$P$13,0)</f>
        <v>0.10812433297758804</v>
      </c>
      <c r="R10" s="515">
        <f>K5</f>
        <v>84</v>
      </c>
      <c r="S10" s="516">
        <f t="shared" ref="S10:S13" si="1">IFERROR(R10/$R$13,0)</f>
        <v>0.16122840690978887</v>
      </c>
    </row>
    <row r="11" spans="2:19" ht="63" customHeight="1" x14ac:dyDescent="0.15">
      <c r="H11" s="514" t="s">
        <v>12</v>
      </c>
      <c r="I11" s="519">
        <f>'２-Ⅵ'!B16</f>
        <v>2075</v>
      </c>
      <c r="J11" s="516">
        <f>'２-Ⅵ'!C16</f>
        <v>1</v>
      </c>
      <c r="K11" s="519">
        <f>'３-Ⅴ'!H16</f>
        <v>305</v>
      </c>
      <c r="L11" s="516">
        <f>'３-Ⅴ'!I16</f>
        <v>1</v>
      </c>
      <c r="M11" s="9"/>
      <c r="N11" s="9"/>
      <c r="O11" s="514" t="s">
        <v>34</v>
      </c>
      <c r="P11" s="519">
        <f>I9</f>
        <v>1829</v>
      </c>
      <c r="Q11" s="516">
        <f t="shared" si="0"/>
        <v>0.12199839914621131</v>
      </c>
      <c r="R11" s="515">
        <f>K9</f>
        <v>280</v>
      </c>
      <c r="S11" s="516">
        <f t="shared" si="1"/>
        <v>0.5374280230326296</v>
      </c>
    </row>
    <row r="12" spans="2:19" ht="63" customHeight="1" x14ac:dyDescent="0.15">
      <c r="H12" s="9"/>
      <c r="I12" s="9"/>
      <c r="J12" s="9"/>
      <c r="K12" s="9"/>
      <c r="L12" s="9"/>
      <c r="M12" s="9"/>
      <c r="N12" s="9"/>
      <c r="O12" s="514" t="s">
        <v>340</v>
      </c>
      <c r="P12" s="519">
        <f>I10</f>
        <v>246</v>
      </c>
      <c r="Q12" s="516">
        <f t="shared" si="0"/>
        <v>1.6408751334044822E-2</v>
      </c>
      <c r="R12" s="515">
        <f>K10</f>
        <v>25</v>
      </c>
      <c r="S12" s="516">
        <f t="shared" si="1"/>
        <v>4.7984644913627639E-2</v>
      </c>
    </row>
    <row r="13" spans="2:19" ht="63" customHeight="1" x14ac:dyDescent="0.15">
      <c r="H13" s="9"/>
      <c r="I13" s="9"/>
      <c r="J13" s="9"/>
      <c r="K13" s="9"/>
      <c r="L13" s="9"/>
      <c r="M13" s="9"/>
      <c r="N13" s="9"/>
      <c r="O13" s="514" t="s">
        <v>12</v>
      </c>
      <c r="P13" s="515">
        <f>SUM(P9:P12)</f>
        <v>14992</v>
      </c>
      <c r="Q13" s="516">
        <f t="shared" si="0"/>
        <v>1</v>
      </c>
      <c r="R13" s="515">
        <f>SUM(R9:R12)</f>
        <v>521</v>
      </c>
      <c r="S13" s="516">
        <f t="shared" si="1"/>
        <v>1</v>
      </c>
    </row>
    <row r="14" spans="2:19" ht="63" customHeight="1" x14ac:dyDescent="0.15">
      <c r="H14" s="511"/>
      <c r="I14" s="1041" t="s">
        <v>330</v>
      </c>
      <c r="J14" s="1041"/>
      <c r="K14" s="1041" t="s">
        <v>331</v>
      </c>
      <c r="L14" s="1041"/>
      <c r="M14" s="509" t="s">
        <v>342</v>
      </c>
      <c r="N14" s="509" t="s">
        <v>342</v>
      </c>
      <c r="O14" s="9"/>
      <c r="P14" s="9"/>
      <c r="Q14" s="9"/>
      <c r="R14" s="9"/>
      <c r="S14" s="9"/>
    </row>
    <row r="15" spans="2:19" s="139" customFormat="1" ht="63" customHeight="1" x14ac:dyDescent="0.15">
      <c r="B15" s="437"/>
      <c r="H15" s="522" t="s">
        <v>332</v>
      </c>
      <c r="I15" s="519">
        <f>'２-Ⅵ'!B23</f>
        <v>670</v>
      </c>
      <c r="J15" s="516">
        <f>'２-Ⅵ'!C23</f>
        <v>0.36632039365773644</v>
      </c>
      <c r="K15" s="519">
        <f>'３-Ⅴ'!H23</f>
        <v>81</v>
      </c>
      <c r="L15" s="516">
        <f>'３-Ⅴ'!I23</f>
        <v>0.28928571428571431</v>
      </c>
      <c r="M15" s="523">
        <f>_xlfn.RANK.EQ(J15,$J$15:$J$34)+COUNTIF($J$15:J15,J15)-1</f>
        <v>3</v>
      </c>
      <c r="N15" s="523">
        <f>_xlfn.RANK.EQ(L15,$L$15:$L$34)+COUNTIF($L$15:L15,L15)-1</f>
        <v>4</v>
      </c>
      <c r="O15" s="509"/>
      <c r="P15" s="509"/>
      <c r="Q15" s="509"/>
      <c r="R15" s="509"/>
      <c r="S15" s="509"/>
    </row>
    <row r="16" spans="2:19" ht="63" customHeight="1" x14ac:dyDescent="0.15">
      <c r="H16" s="524" t="s">
        <v>66</v>
      </c>
      <c r="I16" s="519">
        <f>'２-Ⅵ'!B24</f>
        <v>570</v>
      </c>
      <c r="J16" s="516">
        <f>'２-Ⅵ'!C24</f>
        <v>0.31164570803717878</v>
      </c>
      <c r="K16" s="519">
        <f>'３-Ⅴ'!H24</f>
        <v>59</v>
      </c>
      <c r="L16" s="516">
        <f>'３-Ⅴ'!I24</f>
        <v>0.21071428571428572</v>
      </c>
      <c r="M16" s="523">
        <f>_xlfn.RANK.EQ(J16,$J$15:$J$34)+COUNTIF($J$15:J16,J16)-1</f>
        <v>6</v>
      </c>
      <c r="N16" s="523">
        <f>_xlfn.RANK.EQ(L16,$L$15:$L$34)+COUNTIF($L$15:L16,L16)-1</f>
        <v>8</v>
      </c>
      <c r="O16" s="9"/>
      <c r="P16" s="9"/>
      <c r="Q16" s="9"/>
      <c r="R16" s="9"/>
      <c r="S16" s="9"/>
    </row>
    <row r="17" spans="8:19" ht="63" customHeight="1" x14ac:dyDescent="0.15">
      <c r="H17" s="524" t="s">
        <v>38</v>
      </c>
      <c r="I17" s="519">
        <f>'２-Ⅵ'!B25</f>
        <v>91</v>
      </c>
      <c r="J17" s="516">
        <f>'２-Ⅵ'!C25</f>
        <v>4.9753963914707489E-2</v>
      </c>
      <c r="K17" s="519">
        <f>'３-Ⅴ'!H25</f>
        <v>15</v>
      </c>
      <c r="L17" s="516">
        <f>'３-Ⅴ'!I25</f>
        <v>5.3571428571428568E-2</v>
      </c>
      <c r="M17" s="523">
        <f>_xlfn.RANK.EQ(J17,$J$15:$J$34)+COUNTIF($J$15:J17,J17)-1</f>
        <v>16</v>
      </c>
      <c r="N17" s="523">
        <f>_xlfn.RANK.EQ(L17,$L$15:$L$34)+COUNTIF($L$15:L17,L17)-1</f>
        <v>14</v>
      </c>
      <c r="O17" s="9"/>
      <c r="P17" s="9"/>
      <c r="Q17" s="9"/>
      <c r="R17" s="9"/>
      <c r="S17" s="9"/>
    </row>
    <row r="18" spans="8:19" ht="63" customHeight="1" x14ac:dyDescent="0.15">
      <c r="H18" s="524" t="s">
        <v>39</v>
      </c>
      <c r="I18" s="519">
        <f>'２-Ⅵ'!B26</f>
        <v>677</v>
      </c>
      <c r="J18" s="516">
        <f>'２-Ⅵ'!C26</f>
        <v>0.37014762165117548</v>
      </c>
      <c r="K18" s="519">
        <f>'３-Ⅴ'!H26</f>
        <v>140</v>
      </c>
      <c r="L18" s="516">
        <f>'３-Ⅴ'!I26</f>
        <v>0.5</v>
      </c>
      <c r="M18" s="523">
        <f>_xlfn.RANK.EQ(J18,$J$15:$J$34)+COUNTIF($J$15:J18,J18)-1</f>
        <v>2</v>
      </c>
      <c r="N18" s="523">
        <f>_xlfn.RANK.EQ(L18,$L$15:$L$34)+COUNTIF($L$15:L18,L18)-1</f>
        <v>1</v>
      </c>
      <c r="O18" s="9"/>
      <c r="P18" s="9"/>
      <c r="Q18" s="9"/>
      <c r="R18" s="9"/>
      <c r="S18" s="9"/>
    </row>
    <row r="19" spans="8:19" ht="63" customHeight="1" x14ac:dyDescent="0.15">
      <c r="H19" s="524" t="s">
        <v>40</v>
      </c>
      <c r="I19" s="519">
        <f>'２-Ⅵ'!B27</f>
        <v>806</v>
      </c>
      <c r="J19" s="516">
        <f>'２-Ⅵ'!C27</f>
        <v>0.44067796610169491</v>
      </c>
      <c r="K19" s="519">
        <f>'３-Ⅴ'!H27</f>
        <v>85</v>
      </c>
      <c r="L19" s="516">
        <f>'３-Ⅴ'!I27</f>
        <v>0.30357142857142855</v>
      </c>
      <c r="M19" s="523">
        <f>_xlfn.RANK.EQ(J19,$J$15:$J$34)+COUNTIF($J$15:J19,J19)-1</f>
        <v>1</v>
      </c>
      <c r="N19" s="523">
        <f>_xlfn.RANK.EQ(L19,$L$15:$L$34)+COUNTIF($L$15:L19,L19)-1</f>
        <v>3</v>
      </c>
      <c r="O19" s="9"/>
      <c r="P19" s="9"/>
      <c r="Q19" s="9"/>
      <c r="R19" s="9"/>
      <c r="S19" s="9"/>
    </row>
    <row r="20" spans="8:19" ht="63" customHeight="1" x14ac:dyDescent="0.15">
      <c r="H20" s="524" t="s">
        <v>333</v>
      </c>
      <c r="I20" s="519">
        <f>'２-Ⅵ'!B28</f>
        <v>509</v>
      </c>
      <c r="J20" s="516">
        <f>'２-Ⅵ'!C28</f>
        <v>0.27829414980863859</v>
      </c>
      <c r="K20" s="519">
        <f>'３-Ⅴ'!H28</f>
        <v>95</v>
      </c>
      <c r="L20" s="516">
        <f>'３-Ⅴ'!I28</f>
        <v>0.3392857142857143</v>
      </c>
      <c r="M20" s="523">
        <f>_xlfn.RANK.EQ(J20,$J$15:$J$34)+COUNTIF($J$15:J20,J20)-1</f>
        <v>7</v>
      </c>
      <c r="N20" s="523">
        <f>_xlfn.RANK.EQ(L20,$L$15:$L$34)+COUNTIF($L$15:L20,L20)-1</f>
        <v>2</v>
      </c>
      <c r="O20" s="9"/>
      <c r="P20" s="9"/>
      <c r="Q20" s="9"/>
      <c r="R20" s="9"/>
      <c r="S20" s="9"/>
    </row>
    <row r="21" spans="8:19" ht="63" customHeight="1" x14ac:dyDescent="0.15">
      <c r="H21" s="524" t="s">
        <v>42</v>
      </c>
      <c r="I21" s="519">
        <f>'２-Ⅵ'!B29</f>
        <v>164</v>
      </c>
      <c r="J21" s="516">
        <f>'２-Ⅵ'!C29</f>
        <v>8.9666484417714604E-2</v>
      </c>
      <c r="K21" s="519">
        <f>'３-Ⅴ'!H29</f>
        <v>25</v>
      </c>
      <c r="L21" s="516">
        <f>'３-Ⅴ'!I29</f>
        <v>8.9285714285714288E-2</v>
      </c>
      <c r="M21" s="523">
        <f>_xlfn.RANK.EQ(J21,$J$15:$J$34)+COUNTIF($J$15:J21,J21)-1</f>
        <v>12</v>
      </c>
      <c r="N21" s="523">
        <f>_xlfn.RANK.EQ(L21,$L$15:$L$34)+COUNTIF($L$15:L21,L21)-1</f>
        <v>10</v>
      </c>
      <c r="O21" s="9"/>
      <c r="P21" s="9"/>
      <c r="Q21" s="9"/>
      <c r="R21" s="9"/>
      <c r="S21" s="9"/>
    </row>
    <row r="22" spans="8:19" ht="63" customHeight="1" x14ac:dyDescent="0.15">
      <c r="H22" s="524" t="s">
        <v>334</v>
      </c>
      <c r="I22" s="519">
        <f>'２-Ⅵ'!B30</f>
        <v>644</v>
      </c>
      <c r="J22" s="516">
        <f>'２-Ⅵ'!C30</f>
        <v>0.35210497539639146</v>
      </c>
      <c r="K22" s="519">
        <f>'３-Ⅴ'!H30</f>
        <v>73</v>
      </c>
      <c r="L22" s="516">
        <f>'３-Ⅴ'!I30</f>
        <v>0.26071428571428573</v>
      </c>
      <c r="M22" s="523">
        <f>_xlfn.RANK.EQ(J22,$J$15:$J$34)+COUNTIF($J$15:J22,J22)-1</f>
        <v>4</v>
      </c>
      <c r="N22" s="523">
        <f>_xlfn.RANK.EQ(L22,$L$15:$L$34)+COUNTIF($L$15:L22,L22)-1</f>
        <v>6</v>
      </c>
      <c r="O22" s="9"/>
      <c r="P22" s="9"/>
      <c r="Q22" s="9"/>
      <c r="R22" s="9"/>
      <c r="S22" s="9"/>
    </row>
    <row r="23" spans="8:19" ht="63" customHeight="1" x14ac:dyDescent="0.15">
      <c r="H23" s="524" t="s">
        <v>335</v>
      </c>
      <c r="I23" s="519">
        <f>'２-Ⅵ'!B31</f>
        <v>295</v>
      </c>
      <c r="J23" s="516">
        <f>'２-Ⅵ'!C31</f>
        <v>0.16129032258064516</v>
      </c>
      <c r="K23" s="519">
        <f>'３-Ⅴ'!H31</f>
        <v>49</v>
      </c>
      <c r="L23" s="516">
        <f>'３-Ⅴ'!I31</f>
        <v>0.17499999999999999</v>
      </c>
      <c r="M23" s="523">
        <f>_xlfn.RANK.EQ(J23,$J$15:$J$34)+COUNTIF($J$15:J23,J23)-1</f>
        <v>9</v>
      </c>
      <c r="N23" s="523">
        <f>_xlfn.RANK.EQ(L23,$L$15:$L$34)+COUNTIF($L$15:L23,L23)-1</f>
        <v>9</v>
      </c>
      <c r="O23" s="9"/>
      <c r="P23" s="9"/>
      <c r="Q23" s="9"/>
      <c r="R23" s="9"/>
      <c r="S23" s="9"/>
    </row>
    <row r="24" spans="8:19" ht="63" customHeight="1" x14ac:dyDescent="0.15">
      <c r="H24" s="524" t="s">
        <v>336</v>
      </c>
      <c r="I24" s="519">
        <f>'２-Ⅵ'!B32</f>
        <v>342</v>
      </c>
      <c r="J24" s="516">
        <f>'２-Ⅵ'!C32</f>
        <v>0.18698742482230726</v>
      </c>
      <c r="K24" s="519">
        <f>'３-Ⅴ'!H32</f>
        <v>80</v>
      </c>
      <c r="L24" s="516">
        <f>'３-Ⅴ'!I32</f>
        <v>0.2857142857142857</v>
      </c>
      <c r="M24" s="523">
        <f>_xlfn.RANK.EQ(J24,$J$15:$J$34)+COUNTIF($J$15:J24,J24)-1</f>
        <v>8</v>
      </c>
      <c r="N24" s="523">
        <f>_xlfn.RANK.EQ(L24,$L$15:$L$34)+COUNTIF($L$15:L24,L24)-1</f>
        <v>5</v>
      </c>
      <c r="O24" s="9"/>
      <c r="P24" s="9"/>
      <c r="Q24" s="9"/>
      <c r="R24" s="9"/>
      <c r="S24" s="9"/>
    </row>
    <row r="25" spans="8:19" ht="63" customHeight="1" x14ac:dyDescent="0.15">
      <c r="H25" s="524" t="s">
        <v>46</v>
      </c>
      <c r="I25" s="519">
        <f>'２-Ⅵ'!B33</f>
        <v>605</v>
      </c>
      <c r="J25" s="516">
        <f>'２-Ⅵ'!C33</f>
        <v>0.33078184800437399</v>
      </c>
      <c r="K25" s="519">
        <f>'３-Ⅴ'!H33</f>
        <v>70</v>
      </c>
      <c r="L25" s="516">
        <f>'３-Ⅴ'!I33</f>
        <v>0.25</v>
      </c>
      <c r="M25" s="523">
        <f>_xlfn.RANK.EQ(J25,$J$15:$J$34)+COUNTIF($J$15:J25,J25)-1</f>
        <v>5</v>
      </c>
      <c r="N25" s="523">
        <f>_xlfn.RANK.EQ(L25,$L$15:$L$34)+COUNTIF($L$15:L25,L25)-1</f>
        <v>7</v>
      </c>
      <c r="O25" s="9"/>
      <c r="P25" s="9"/>
      <c r="Q25" s="9"/>
      <c r="R25" s="9"/>
      <c r="S25" s="9"/>
    </row>
    <row r="26" spans="8:19" ht="63" customHeight="1" x14ac:dyDescent="0.15">
      <c r="H26" s="524" t="s">
        <v>47</v>
      </c>
      <c r="I26" s="519">
        <f>'２-Ⅵ'!B34</f>
        <v>121</v>
      </c>
      <c r="J26" s="516">
        <f>'２-Ⅵ'!C34</f>
        <v>6.6156369600874801E-2</v>
      </c>
      <c r="K26" s="519">
        <f>'３-Ⅴ'!H34</f>
        <v>19</v>
      </c>
      <c r="L26" s="516">
        <f>'３-Ⅴ'!I34</f>
        <v>6.7857142857142852E-2</v>
      </c>
      <c r="M26" s="523">
        <f>_xlfn.RANK.EQ(J26,$J$15:$J$34)+COUNTIF($J$15:J26,J26)-1</f>
        <v>15</v>
      </c>
      <c r="N26" s="523">
        <f>_xlfn.RANK.EQ(L26,$L$15:$L$34)+COUNTIF($L$15:L26,L26)-1</f>
        <v>13</v>
      </c>
      <c r="O26" s="9"/>
      <c r="P26" s="9"/>
      <c r="Q26" s="9"/>
      <c r="R26" s="9"/>
      <c r="S26" s="9"/>
    </row>
    <row r="27" spans="8:19" ht="63" customHeight="1" x14ac:dyDescent="0.15">
      <c r="H27" s="524" t="s">
        <v>48</v>
      </c>
      <c r="I27" s="519">
        <f>'２-Ⅵ'!B35</f>
        <v>70</v>
      </c>
      <c r="J27" s="516">
        <f>'２-Ⅵ'!C35</f>
        <v>3.8272279934390377E-2</v>
      </c>
      <c r="K27" s="519">
        <f>'３-Ⅴ'!H35</f>
        <v>10</v>
      </c>
      <c r="L27" s="516">
        <f>'３-Ⅴ'!I35</f>
        <v>3.5714285714285712E-2</v>
      </c>
      <c r="M27" s="523">
        <f>_xlfn.RANK.EQ(J27,$J$15:$J$34)+COUNTIF($J$15:J27,J27)-1</f>
        <v>17</v>
      </c>
      <c r="N27" s="523">
        <f>_xlfn.RANK.EQ(L27,$L$15:$L$34)+COUNTIF($L$15:L27,L27)-1</f>
        <v>16</v>
      </c>
      <c r="O27" s="9"/>
      <c r="P27" s="9"/>
      <c r="Q27" s="9"/>
      <c r="R27" s="9"/>
      <c r="S27" s="9"/>
    </row>
    <row r="28" spans="8:19" ht="63" customHeight="1" x14ac:dyDescent="0.15">
      <c r="H28" s="524" t="s">
        <v>49</v>
      </c>
      <c r="I28" s="519">
        <f>'２-Ⅵ'!B36</f>
        <v>6</v>
      </c>
      <c r="J28" s="516">
        <f>'２-Ⅵ'!C36</f>
        <v>3.2804811372334607E-3</v>
      </c>
      <c r="K28" s="519">
        <f>'３-Ⅴ'!H36</f>
        <v>1</v>
      </c>
      <c r="L28" s="516">
        <f>'３-Ⅴ'!I36</f>
        <v>3.5714285714285713E-3</v>
      </c>
      <c r="M28" s="523">
        <f>_xlfn.RANK.EQ(J28,$J$15:$J$34)+COUNTIF($J$15:J28,J28)-1</f>
        <v>20</v>
      </c>
      <c r="N28" s="523">
        <f>_xlfn.RANK.EQ(L28,$L$15:$L$34)+COUNTIF($L$15:L28,L28)-1</f>
        <v>20</v>
      </c>
      <c r="O28" s="9"/>
      <c r="P28" s="9"/>
      <c r="Q28" s="9"/>
      <c r="R28" s="9"/>
      <c r="S28" s="9"/>
    </row>
    <row r="29" spans="8:19" ht="63" customHeight="1" x14ac:dyDescent="0.15">
      <c r="H29" s="524" t="s">
        <v>50</v>
      </c>
      <c r="I29" s="519">
        <f>'２-Ⅵ'!B37</f>
        <v>149</v>
      </c>
      <c r="J29" s="516">
        <f>'２-Ⅵ'!C37</f>
        <v>8.1465281574630941E-2</v>
      </c>
      <c r="K29" s="519">
        <f>'３-Ⅴ'!H37</f>
        <v>21</v>
      </c>
      <c r="L29" s="516">
        <f>'３-Ⅴ'!I37</f>
        <v>7.4999999999999997E-2</v>
      </c>
      <c r="M29" s="523">
        <f>_xlfn.RANK.EQ(J29,$J$15:$J$34)+COUNTIF($J$15:J29,J29)-1</f>
        <v>13</v>
      </c>
      <c r="N29" s="523">
        <f>_xlfn.RANK.EQ(L29,$L$15:$L$34)+COUNTIF($L$15:L29,L29)-1</f>
        <v>12</v>
      </c>
      <c r="O29" s="9"/>
      <c r="P29" s="9"/>
      <c r="Q29" s="9"/>
      <c r="R29" s="9"/>
      <c r="S29" s="9"/>
    </row>
    <row r="30" spans="8:19" ht="63" customHeight="1" x14ac:dyDescent="0.15">
      <c r="H30" s="524" t="s">
        <v>51</v>
      </c>
      <c r="I30" s="519">
        <f>'２-Ⅵ'!B38</f>
        <v>131</v>
      </c>
      <c r="J30" s="516">
        <f>'２-Ⅵ'!C38</f>
        <v>7.1623838162930567E-2</v>
      </c>
      <c r="K30" s="519">
        <f>'３-Ⅴ'!H38</f>
        <v>23</v>
      </c>
      <c r="L30" s="516">
        <f>'３-Ⅴ'!I38</f>
        <v>8.2142857142857142E-2</v>
      </c>
      <c r="M30" s="523">
        <f>_xlfn.RANK.EQ(J30,$J$15:$J$34)+COUNTIF($J$15:J30,J30)-1</f>
        <v>14</v>
      </c>
      <c r="N30" s="523">
        <f>_xlfn.RANK.EQ(L30,$L$15:$L$34)+COUNTIF($L$15:L30,L30)-1</f>
        <v>11</v>
      </c>
      <c r="O30" s="9"/>
      <c r="P30" s="9"/>
      <c r="Q30" s="9"/>
      <c r="R30" s="9"/>
      <c r="S30" s="9"/>
    </row>
    <row r="31" spans="8:19" ht="63" customHeight="1" x14ac:dyDescent="0.15">
      <c r="H31" s="524" t="s">
        <v>337</v>
      </c>
      <c r="I31" s="519">
        <f>'２-Ⅵ'!B39</f>
        <v>28</v>
      </c>
      <c r="J31" s="516">
        <f>'２-Ⅵ'!C39</f>
        <v>1.530891197375615E-2</v>
      </c>
      <c r="K31" s="519">
        <f>'３-Ⅴ'!H39</f>
        <v>4</v>
      </c>
      <c r="L31" s="516">
        <f>'３-Ⅴ'!I39</f>
        <v>1.4285714285714285E-2</v>
      </c>
      <c r="M31" s="523">
        <f>_xlfn.RANK.EQ(J31,$J$15:$J$34)+COUNTIF($J$15:J31,J31)-1</f>
        <v>19</v>
      </c>
      <c r="N31" s="523">
        <f>_xlfn.RANK.EQ(L31,$L$15:$L$34)+COUNTIF($L$15:L31,L31)-1</f>
        <v>18</v>
      </c>
      <c r="O31" s="9"/>
      <c r="P31" s="9"/>
      <c r="Q31" s="9"/>
      <c r="R31" s="9"/>
      <c r="S31" s="9"/>
    </row>
    <row r="32" spans="8:19" ht="63" customHeight="1" x14ac:dyDescent="0.15">
      <c r="H32" s="524" t="s">
        <v>381</v>
      </c>
      <c r="I32" s="519">
        <f>'２-Ⅵ'!B40</f>
        <v>295</v>
      </c>
      <c r="J32" s="516">
        <f>'２-Ⅵ'!C40</f>
        <v>0.16129032258064516</v>
      </c>
      <c r="K32" s="519">
        <f>'３-Ⅴ'!H40</f>
        <v>15</v>
      </c>
      <c r="L32" s="516">
        <f>'３-Ⅴ'!I40</f>
        <v>5.3571428571428568E-2</v>
      </c>
      <c r="M32" s="523">
        <f>_xlfn.RANK.EQ(J32,$J$15:$J$34)+COUNTIF($J$15:J32,J32)-1</f>
        <v>10</v>
      </c>
      <c r="N32" s="523">
        <f>_xlfn.RANK.EQ(L32,$L$15:$L$34)+COUNTIF($L$15:L32,L32)-1</f>
        <v>15</v>
      </c>
      <c r="O32" s="9"/>
      <c r="P32" s="9"/>
      <c r="Q32" s="9"/>
      <c r="R32" s="9"/>
      <c r="S32" s="9"/>
    </row>
    <row r="33" spans="8:14" ht="65.25" customHeight="1" x14ac:dyDescent="0.15">
      <c r="H33" s="524" t="s">
        <v>382</v>
      </c>
      <c r="I33" s="519">
        <f>'２-Ⅵ'!B41</f>
        <v>173</v>
      </c>
      <c r="J33" s="516">
        <f>'２-Ⅵ'!C41</f>
        <v>9.458720612356479E-2</v>
      </c>
      <c r="K33" s="519">
        <f>'３-Ⅴ'!H41</f>
        <v>4</v>
      </c>
      <c r="L33" s="516">
        <f>'３-Ⅴ'!I41</f>
        <v>1.4285714285714285E-2</v>
      </c>
      <c r="M33" s="523">
        <f>_xlfn.RANK.EQ(J33,$J$15:$J$34)+COUNTIF($J$15:J33,J33)-1</f>
        <v>11</v>
      </c>
      <c r="N33" s="523">
        <f>_xlfn.RANK.EQ(L33,$L$15:$L$34)+COUNTIF($L$15:L33,L33)-1</f>
        <v>19</v>
      </c>
    </row>
    <row r="34" spans="8:14" ht="35.25" customHeight="1" x14ac:dyDescent="0.15">
      <c r="H34" s="524" t="s">
        <v>53</v>
      </c>
      <c r="I34" s="519">
        <f>'２-Ⅵ'!B42</f>
        <v>50</v>
      </c>
      <c r="J34" s="516">
        <f>'２-Ⅵ'!C42</f>
        <v>2.7337342810278841E-2</v>
      </c>
      <c r="K34" s="519">
        <f>'３-Ⅴ'!H42</f>
        <v>8</v>
      </c>
      <c r="L34" s="516">
        <f>'３-Ⅴ'!I42</f>
        <v>2.8571428571428571E-2</v>
      </c>
      <c r="M34" s="523">
        <f>_xlfn.RANK.EQ(J34,$J$15:$J$34)+COUNTIF($J$15:J34,J34)-1</f>
        <v>18</v>
      </c>
      <c r="N34" s="523">
        <f>_xlfn.RANK.EQ(L34,$L$15:$L$34)+COUNTIF($L$15:L34,L34)-1</f>
        <v>17</v>
      </c>
    </row>
  </sheetData>
  <mergeCells count="11">
    <mergeCell ref="P8:Q8"/>
    <mergeCell ref="R8:S8"/>
    <mergeCell ref="I14:J14"/>
    <mergeCell ref="K14:L14"/>
    <mergeCell ref="B2:C2"/>
    <mergeCell ref="I2:J2"/>
    <mergeCell ref="K2:L2"/>
    <mergeCell ref="C3:D3"/>
    <mergeCell ref="E3:F3"/>
    <mergeCell ref="I8:J8"/>
    <mergeCell ref="K8:L8"/>
  </mergeCells>
  <phoneticPr fontId="2"/>
  <pageMargins left="0.44270833333333331" right="0.41666666666666669" top="0.60606060606060608" bottom="0.51136363636363635" header="0.3" footer="0.3"/>
  <pageSetup paperSize="9" scale="76" orientation="portrait" r:id="rId1"/>
  <headerFooter>
    <oddHeader>&amp;C&amp;"游ゴシック,太字"&amp;14R4年度　大阪府の在院患者の状況&amp;R&amp;"游ゴシック,標準"&amp;10R4.6.30時点</oddHeader>
    <oddFooter>&amp;R&amp;"メイリオ,レギュラー"&amp;10&amp;F</oddFooter>
  </headerFooter>
  <rowBreaks count="1" manualBreakCount="1">
    <brk id="9" max="6" man="1"/>
  </rowBreaks>
  <colBreaks count="1" manualBreakCount="1">
    <brk id="7" max="1048575" man="1"/>
  </colBreaks>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7" tint="-0.249977111117893"/>
  </sheetPr>
  <dimension ref="K3:O67"/>
  <sheetViews>
    <sheetView view="pageBreakPreview" topLeftCell="C1" zoomScale="90" zoomScaleNormal="100" zoomScaleSheetLayoutView="90" workbookViewId="0">
      <selection activeCell="J1" sqref="J1:N1048576"/>
    </sheetView>
  </sheetViews>
  <sheetFormatPr defaultRowHeight="18" customHeight="1" x14ac:dyDescent="0.15"/>
  <cols>
    <col min="1" max="9" width="9.875" customWidth="1"/>
    <col min="11" max="11" width="34.5" customWidth="1"/>
    <col min="12" max="12" width="9" customWidth="1"/>
    <col min="13" max="13" width="11.125" customWidth="1"/>
  </cols>
  <sheetData>
    <row r="3" spans="11:13" ht="18" customHeight="1" x14ac:dyDescent="0.15">
      <c r="K3" s="455"/>
      <c r="L3" s="455" t="s">
        <v>306</v>
      </c>
      <c r="M3" s="455" t="s">
        <v>307</v>
      </c>
    </row>
    <row r="4" spans="11:13" ht="18" customHeight="1" x14ac:dyDescent="0.15">
      <c r="K4" s="525" t="s">
        <v>355</v>
      </c>
      <c r="L4" s="475">
        <f>'5-Ⅰ①'!D14</f>
        <v>0.4654895666131621</v>
      </c>
      <c r="M4" s="475">
        <f>'5-Ⅰ①'!F14</f>
        <v>0.31509121061359868</v>
      </c>
    </row>
    <row r="5" spans="11:13" ht="18" customHeight="1" x14ac:dyDescent="0.15">
      <c r="K5" s="525" t="s">
        <v>224</v>
      </c>
      <c r="L5" s="475">
        <f>'5-Ⅰ①'!D15</f>
        <v>0.3451043338683788</v>
      </c>
      <c r="M5" s="475">
        <f>'5-Ⅰ①'!F15</f>
        <v>0.29436152570480928</v>
      </c>
    </row>
    <row r="6" spans="11:13" ht="18" customHeight="1" x14ac:dyDescent="0.15">
      <c r="K6" s="525" t="s">
        <v>38</v>
      </c>
      <c r="L6" s="475">
        <f>'5-Ⅰ①'!D16</f>
        <v>8.98876404494382E-2</v>
      </c>
      <c r="M6" s="475">
        <f>'5-Ⅰ①'!F16</f>
        <v>2.9021558872305141E-2</v>
      </c>
    </row>
    <row r="7" spans="11:13" ht="18" customHeight="1" x14ac:dyDescent="0.15">
      <c r="K7" s="525" t="s">
        <v>39</v>
      </c>
      <c r="L7" s="475">
        <f>'5-Ⅰ①'!D17</f>
        <v>0.32423756019261635</v>
      </c>
      <c r="M7" s="475">
        <f>'5-Ⅰ①'!F17</f>
        <v>0.39386401326699833</v>
      </c>
    </row>
    <row r="8" spans="11:13" ht="18" customHeight="1" x14ac:dyDescent="0.15">
      <c r="K8" s="525" t="s">
        <v>40</v>
      </c>
      <c r="L8" s="475">
        <f>'5-Ⅰ①'!D18</f>
        <v>0.43820224719101125</v>
      </c>
      <c r="M8" s="475">
        <f>'5-Ⅰ①'!F18</f>
        <v>0.4419568822553897</v>
      </c>
    </row>
    <row r="9" spans="11:13" ht="18" customHeight="1" x14ac:dyDescent="0.15">
      <c r="K9" s="525" t="s">
        <v>41</v>
      </c>
      <c r="L9" s="475">
        <f>'5-Ⅰ①'!D19</f>
        <v>0.3274478330658106</v>
      </c>
      <c r="M9" s="475">
        <f>'5-Ⅰ①'!F19</f>
        <v>0.25290215588723053</v>
      </c>
    </row>
    <row r="10" spans="11:13" ht="18" customHeight="1" x14ac:dyDescent="0.15">
      <c r="K10" s="525" t="s">
        <v>42</v>
      </c>
      <c r="L10" s="475">
        <f>'5-Ⅰ①'!D20</f>
        <v>0.1332263242375602</v>
      </c>
      <c r="M10" s="475">
        <f>'5-Ⅰ①'!F20</f>
        <v>6.7164179104477612E-2</v>
      </c>
    </row>
    <row r="11" spans="11:13" ht="18" customHeight="1" x14ac:dyDescent="0.15">
      <c r="K11" s="525" t="s">
        <v>43</v>
      </c>
      <c r="L11" s="475">
        <f>'5-Ⅰ①'!D21</f>
        <v>0.32423756019261635</v>
      </c>
      <c r="M11" s="475">
        <f>'5-Ⅰ①'!F21</f>
        <v>0.36650082918739635</v>
      </c>
    </row>
    <row r="12" spans="11:13" ht="18" customHeight="1" x14ac:dyDescent="0.15">
      <c r="K12" s="525" t="s">
        <v>357</v>
      </c>
      <c r="L12" s="475">
        <f>'5-Ⅰ①'!D22</f>
        <v>0.16211878009630817</v>
      </c>
      <c r="M12" s="475">
        <f>'5-Ⅰ①'!F22</f>
        <v>0.16086235489220563</v>
      </c>
    </row>
    <row r="13" spans="11:13" ht="18" customHeight="1" x14ac:dyDescent="0.15">
      <c r="K13" s="526" t="s">
        <v>356</v>
      </c>
      <c r="L13" s="475">
        <f>'5-Ⅰ①'!D23</f>
        <v>0.1926163723916533</v>
      </c>
      <c r="M13" s="475">
        <f>'5-Ⅰ①'!F23</f>
        <v>0.18407960199004975</v>
      </c>
    </row>
    <row r="14" spans="11:13" ht="18" customHeight="1" x14ac:dyDescent="0.15">
      <c r="K14" s="525" t="s">
        <v>46</v>
      </c>
      <c r="L14" s="475">
        <f>'5-Ⅰ①'!D24</f>
        <v>0.32423756019261635</v>
      </c>
      <c r="M14" s="475">
        <f>'5-Ⅰ①'!F24</f>
        <v>0.33416252072968489</v>
      </c>
    </row>
    <row r="15" spans="11:13" ht="18" customHeight="1" x14ac:dyDescent="0.15">
      <c r="K15" s="525" t="s">
        <v>47</v>
      </c>
      <c r="L15" s="475">
        <f>'5-Ⅰ①'!D25</f>
        <v>5.1364365971107544E-2</v>
      </c>
      <c r="M15" s="475">
        <f>'5-Ⅰ①'!F25</f>
        <v>7.3797678275290213E-2</v>
      </c>
    </row>
    <row r="16" spans="11:13" ht="18" customHeight="1" x14ac:dyDescent="0.15">
      <c r="K16" s="525" t="s">
        <v>48</v>
      </c>
      <c r="L16" s="475">
        <f>'5-Ⅰ①'!D26</f>
        <v>4.9759229534510431E-2</v>
      </c>
      <c r="M16" s="475">
        <f>'5-Ⅰ①'!F26</f>
        <v>3.2338308457711441E-2</v>
      </c>
    </row>
    <row r="17" spans="11:13" ht="18" customHeight="1" x14ac:dyDescent="0.15">
      <c r="K17" s="525" t="s">
        <v>49</v>
      </c>
      <c r="L17" s="475">
        <f>'5-Ⅰ①'!D27</f>
        <v>6.420545746388443E-3</v>
      </c>
      <c r="M17" s="475">
        <f>'5-Ⅰ①'!F27</f>
        <v>1.658374792703151E-3</v>
      </c>
    </row>
    <row r="18" spans="11:13" ht="18" customHeight="1" x14ac:dyDescent="0.15">
      <c r="K18" s="525" t="s">
        <v>50</v>
      </c>
      <c r="L18" s="475">
        <f>'5-Ⅰ①'!D28</f>
        <v>9.3097913322632425E-2</v>
      </c>
      <c r="M18" s="475">
        <f>'5-Ⅰ①'!F28</f>
        <v>7.545605306799337E-2</v>
      </c>
    </row>
    <row r="19" spans="11:13" ht="18" customHeight="1" x14ac:dyDescent="0.15">
      <c r="K19" s="525" t="s">
        <v>51</v>
      </c>
      <c r="L19" s="475">
        <f>'5-Ⅰ①'!D29</f>
        <v>8.0256821829855537E-2</v>
      </c>
      <c r="M19" s="475">
        <f>'5-Ⅰ①'!F29</f>
        <v>6.7164179104477612E-2</v>
      </c>
    </row>
    <row r="20" spans="11:13" ht="18" customHeight="1" x14ac:dyDescent="0.15">
      <c r="K20" s="525" t="s">
        <v>337</v>
      </c>
      <c r="L20" s="475">
        <f>'5-Ⅰ①'!D30</f>
        <v>1.6051364365971106E-2</v>
      </c>
      <c r="M20" s="475">
        <f>'5-Ⅰ①'!F30</f>
        <v>1.4925373134328358E-2</v>
      </c>
    </row>
    <row r="21" spans="11:13" ht="18" customHeight="1" x14ac:dyDescent="0.15">
      <c r="K21" s="688" t="s">
        <v>381</v>
      </c>
      <c r="L21" s="475">
        <f>'5-Ⅰ①'!D31</f>
        <v>8.98876404494382E-2</v>
      </c>
      <c r="M21" s="475">
        <f>'5-Ⅰ①'!F31</f>
        <v>0.19817578772802655</v>
      </c>
    </row>
    <row r="22" spans="11:13" ht="18" customHeight="1" x14ac:dyDescent="0.15">
      <c r="K22" s="688" t="s">
        <v>382</v>
      </c>
      <c r="L22" s="475">
        <f>'5-Ⅰ①'!D32</f>
        <v>5.1364365971107544E-2</v>
      </c>
      <c r="M22" s="475">
        <f>'5-Ⅰ①'!F32</f>
        <v>0.11691542288557213</v>
      </c>
    </row>
    <row r="23" spans="11:13" ht="18" customHeight="1" x14ac:dyDescent="0.15">
      <c r="K23" s="688" t="s">
        <v>53</v>
      </c>
      <c r="L23" s="475">
        <f>'5-Ⅰ①'!D33</f>
        <v>2.247191011235955E-2</v>
      </c>
      <c r="M23" s="475">
        <f>'5-Ⅰ①'!F33</f>
        <v>2.9850746268656716E-2</v>
      </c>
    </row>
    <row r="47" spans="11:15" ht="18" customHeight="1" x14ac:dyDescent="0.15">
      <c r="K47" s="1"/>
      <c r="L47" s="476" t="s">
        <v>358</v>
      </c>
      <c r="M47" s="477" t="s">
        <v>359</v>
      </c>
      <c r="N47" s="477" t="s">
        <v>360</v>
      </c>
      <c r="O47" s="476" t="s">
        <v>361</v>
      </c>
    </row>
    <row r="48" spans="11:15" ht="18" customHeight="1" x14ac:dyDescent="0.15">
      <c r="K48" s="478" t="s">
        <v>355</v>
      </c>
      <c r="L48" s="475">
        <f>'５-Ⅰ②'!D14</f>
        <v>0.36952998379254459</v>
      </c>
      <c r="M48" s="475">
        <f>'５-Ⅰ②'!F14</f>
        <v>0.33707865168539325</v>
      </c>
      <c r="N48" s="475">
        <f>'５-Ⅰ②'!H14</f>
        <v>0.43396226415094341</v>
      </c>
      <c r="O48" s="475">
        <f>'５-Ⅰ②'!J14</f>
        <v>0.3611111111111111</v>
      </c>
    </row>
    <row r="49" spans="11:15" ht="18" customHeight="1" x14ac:dyDescent="0.15">
      <c r="K49" s="478" t="s">
        <v>224</v>
      </c>
      <c r="L49" s="475">
        <f>'５-Ⅰ②'!D15</f>
        <v>0.27876823338735818</v>
      </c>
      <c r="M49" s="475">
        <f>'５-Ⅰ②'!F15</f>
        <v>0.3130016051364366</v>
      </c>
      <c r="N49" s="475">
        <f>'５-Ⅰ②'!H15</f>
        <v>0.35094339622641507</v>
      </c>
      <c r="O49" s="475">
        <f>'５-Ⅰ②'!J15</f>
        <v>0.33950617283950618</v>
      </c>
    </row>
    <row r="50" spans="11:15" ht="18" customHeight="1" x14ac:dyDescent="0.15">
      <c r="K50" s="478" t="s">
        <v>38</v>
      </c>
      <c r="L50" s="475">
        <f>'５-Ⅰ②'!D16</f>
        <v>4.0518638573743923E-2</v>
      </c>
      <c r="M50" s="475">
        <f>'５-Ⅰ②'!F16</f>
        <v>5.2969502407704656E-2</v>
      </c>
      <c r="N50" s="475">
        <f>'５-Ⅰ②'!H16</f>
        <v>7.5471698113207544E-2</v>
      </c>
      <c r="O50" s="475">
        <f>'５-Ⅰ②'!J16</f>
        <v>4.0123456790123455E-2</v>
      </c>
    </row>
    <row r="51" spans="11:15" ht="18" customHeight="1" x14ac:dyDescent="0.15">
      <c r="K51" s="478" t="s">
        <v>39</v>
      </c>
      <c r="L51" s="475">
        <f>'５-Ⅰ②'!D17</f>
        <v>0.22366288492706646</v>
      </c>
      <c r="M51" s="475">
        <f>'５-Ⅰ②'!F17</f>
        <v>0.39486356340288925</v>
      </c>
      <c r="N51" s="475">
        <f>'５-Ⅰ②'!H17</f>
        <v>0.43773584905660379</v>
      </c>
      <c r="O51" s="475">
        <f>'５-Ⅰ②'!J17</f>
        <v>0.54629629629629628</v>
      </c>
    </row>
    <row r="52" spans="11:15" ht="18" customHeight="1" x14ac:dyDescent="0.15">
      <c r="K52" s="478" t="s">
        <v>40</v>
      </c>
      <c r="L52" s="475">
        <f>'５-Ⅰ②'!D18</f>
        <v>0.39546191247974066</v>
      </c>
      <c r="M52" s="475">
        <f>'５-Ⅰ②'!F18</f>
        <v>0.42857142857142855</v>
      </c>
      <c r="N52" s="475">
        <f>'５-Ⅰ②'!H18</f>
        <v>0.46037735849056605</v>
      </c>
      <c r="O52" s="475">
        <f>'５-Ⅰ②'!J18</f>
        <v>0.53395061728395066</v>
      </c>
    </row>
    <row r="53" spans="11:15" ht="18" customHeight="1" x14ac:dyDescent="0.15">
      <c r="K53" s="478" t="s">
        <v>41</v>
      </c>
      <c r="L53" s="475">
        <f>'５-Ⅰ②'!D19</f>
        <v>0.21231766612641814</v>
      </c>
      <c r="M53" s="475">
        <f>'５-Ⅰ②'!F19</f>
        <v>0.27287319422150885</v>
      </c>
      <c r="N53" s="475">
        <f>'５-Ⅰ②'!H19</f>
        <v>0.3471698113207547</v>
      </c>
      <c r="O53" s="475">
        <f>'５-Ⅰ②'!J19</f>
        <v>0.35802469135802467</v>
      </c>
    </row>
    <row r="54" spans="11:15" ht="18" customHeight="1" x14ac:dyDescent="0.15">
      <c r="K54" s="478" t="s">
        <v>42</v>
      </c>
      <c r="L54" s="475">
        <f>'５-Ⅰ②'!D20</f>
        <v>7.2933549432739053E-2</v>
      </c>
      <c r="M54" s="475">
        <f>'５-Ⅰ②'!F20</f>
        <v>8.8282504012841087E-2</v>
      </c>
      <c r="N54" s="475">
        <f>'５-Ⅰ②'!H20</f>
        <v>7.1698113207547168E-2</v>
      </c>
      <c r="O54" s="475">
        <f>'５-Ⅰ②'!J20</f>
        <v>0.1388888888888889</v>
      </c>
    </row>
    <row r="55" spans="11:15" ht="18" customHeight="1" x14ac:dyDescent="0.15">
      <c r="K55" s="478" t="s">
        <v>43</v>
      </c>
      <c r="L55" s="475">
        <f>'５-Ⅰ②'!D21</f>
        <v>0.32414910858995138</v>
      </c>
      <c r="M55" s="475">
        <f>'５-Ⅰ②'!F21</f>
        <v>0.3467094703049759</v>
      </c>
      <c r="N55" s="475">
        <f>'５-Ⅰ②'!H21</f>
        <v>0.39622641509433965</v>
      </c>
      <c r="O55" s="475">
        <f>'５-Ⅰ②'!J21</f>
        <v>0.37962962962962965</v>
      </c>
    </row>
    <row r="56" spans="11:15" ht="18" customHeight="1" x14ac:dyDescent="0.15">
      <c r="K56" s="478" t="s">
        <v>357</v>
      </c>
      <c r="L56" s="475">
        <f>'５-Ⅰ②'!D22</f>
        <v>0.12479740680713128</v>
      </c>
      <c r="M56" s="475">
        <f>'５-Ⅰ②'!F22</f>
        <v>0.16051364365971107</v>
      </c>
      <c r="N56" s="475">
        <f>'５-Ⅰ②'!H22</f>
        <v>0.17735849056603772</v>
      </c>
      <c r="O56" s="475">
        <f>'５-Ⅰ②'!J22</f>
        <v>0.2191358024691358</v>
      </c>
    </row>
    <row r="57" spans="11:15" ht="18" customHeight="1" x14ac:dyDescent="0.15">
      <c r="K57" s="479" t="s">
        <v>356</v>
      </c>
      <c r="L57" s="475">
        <f>'５-Ⅰ②'!D23</f>
        <v>0.12155591572123177</v>
      </c>
      <c r="M57" s="475">
        <f>'５-Ⅰ②'!F23</f>
        <v>0.19743178170144463</v>
      </c>
      <c r="N57" s="475">
        <f>'５-Ⅰ②'!H23</f>
        <v>0.25283018867924528</v>
      </c>
      <c r="O57" s="475">
        <f>'５-Ⅰ②'!J23</f>
        <v>0.23765432098765432</v>
      </c>
    </row>
    <row r="58" spans="11:15" ht="18" customHeight="1" x14ac:dyDescent="0.15">
      <c r="K58" s="478" t="s">
        <v>46</v>
      </c>
      <c r="L58" s="475">
        <f>'５-Ⅰ②'!D24</f>
        <v>0.39059967585089139</v>
      </c>
      <c r="M58" s="475">
        <f>'５-Ⅰ②'!F24</f>
        <v>0.34831460674157305</v>
      </c>
      <c r="N58" s="475">
        <f>'５-Ⅰ②'!H24</f>
        <v>0.25660377358490566</v>
      </c>
      <c r="O58" s="475">
        <f>'５-Ⅰ②'!J24</f>
        <v>0.24382716049382716</v>
      </c>
    </row>
    <row r="59" spans="11:15" ht="18" customHeight="1" x14ac:dyDescent="0.15">
      <c r="K59" s="478" t="s">
        <v>47</v>
      </c>
      <c r="L59" s="475">
        <f>'５-Ⅰ②'!D25</f>
        <v>6.6450567260940036E-2</v>
      </c>
      <c r="M59" s="475">
        <f>'５-Ⅰ②'!F25</f>
        <v>7.3836276083467101E-2</v>
      </c>
      <c r="N59" s="475">
        <f>'５-Ⅰ②'!H25</f>
        <v>7.9245283018867921E-2</v>
      </c>
      <c r="O59" s="475">
        <f>'５-Ⅰ②'!J25</f>
        <v>4.0123456790123455E-2</v>
      </c>
    </row>
    <row r="60" spans="11:15" ht="18" customHeight="1" x14ac:dyDescent="0.15">
      <c r="K60" s="478" t="s">
        <v>48</v>
      </c>
      <c r="L60" s="475">
        <f>'５-Ⅰ②'!D26</f>
        <v>4.5380875202593193E-2</v>
      </c>
      <c r="M60" s="475">
        <f>'５-Ⅰ②'!F26</f>
        <v>4.0128410914927769E-2</v>
      </c>
      <c r="N60" s="475">
        <f>'５-Ⅰ②'!H26</f>
        <v>2.6415094339622643E-2</v>
      </c>
      <c r="O60" s="475">
        <f>'５-Ⅰ②'!J26</f>
        <v>3.0864197530864196E-2</v>
      </c>
    </row>
    <row r="61" spans="11:15" ht="18" customHeight="1" x14ac:dyDescent="0.15">
      <c r="K61" s="478" t="s">
        <v>49</v>
      </c>
      <c r="L61" s="475">
        <f>'５-Ⅰ②'!D27</f>
        <v>3.2414910858995136E-3</v>
      </c>
      <c r="M61" s="475">
        <f>'５-Ⅰ②'!F27</f>
        <v>4.815409309791332E-3</v>
      </c>
      <c r="N61" s="475">
        <f>'５-Ⅰ②'!H27</f>
        <v>3.7735849056603774E-3</v>
      </c>
      <c r="O61" s="475">
        <f>'５-Ⅰ②'!J27</f>
        <v>0</v>
      </c>
    </row>
    <row r="62" spans="11:15" ht="18" customHeight="1" x14ac:dyDescent="0.15">
      <c r="K62" s="478" t="s">
        <v>50</v>
      </c>
      <c r="L62" s="475">
        <f>'５-Ⅰ②'!D28</f>
        <v>9.0761750405186387E-2</v>
      </c>
      <c r="M62" s="475">
        <f>'５-Ⅰ②'!F28</f>
        <v>8.3467094703049763E-2</v>
      </c>
      <c r="N62" s="475">
        <f>'５-Ⅰ②'!H28</f>
        <v>6.7924528301886791E-2</v>
      </c>
      <c r="O62" s="475">
        <f>'５-Ⅰ②'!J28</f>
        <v>7.098765432098765E-2</v>
      </c>
    </row>
    <row r="63" spans="11:15" ht="18" customHeight="1" x14ac:dyDescent="0.15">
      <c r="K63" s="478" t="s">
        <v>51</v>
      </c>
      <c r="L63" s="475">
        <f>'５-Ⅰ②'!D29</f>
        <v>7.9416531604538085E-2</v>
      </c>
      <c r="M63" s="475">
        <f>'５-Ⅰ②'!F29</f>
        <v>6.4205457463884424E-2</v>
      </c>
      <c r="N63" s="475">
        <f>'５-Ⅰ②'!H29</f>
        <v>7.9245283018867921E-2</v>
      </c>
      <c r="O63" s="475">
        <f>'５-Ⅰ②'!J29</f>
        <v>6.4814814814814811E-2</v>
      </c>
    </row>
    <row r="64" spans="11:15" ht="18" customHeight="1" x14ac:dyDescent="0.15">
      <c r="K64" s="478" t="s">
        <v>337</v>
      </c>
      <c r="L64" s="475">
        <f>'５-Ⅰ②'!D30</f>
        <v>1.9448946515397084E-2</v>
      </c>
      <c r="M64" s="475">
        <f>'５-Ⅰ②'!F30</f>
        <v>1.1235955056179775E-2</v>
      </c>
      <c r="N64" s="475">
        <f>'５-Ⅰ②'!H30</f>
        <v>1.8867924528301886E-2</v>
      </c>
      <c r="O64" s="475">
        <f>'５-Ⅰ②'!J30</f>
        <v>1.2345679012345678E-2</v>
      </c>
    </row>
    <row r="65" spans="11:15" ht="18" customHeight="1" x14ac:dyDescent="0.15">
      <c r="K65" s="478" t="s">
        <v>381</v>
      </c>
      <c r="L65" s="475">
        <f>'５-Ⅰ②'!D31</f>
        <v>0.16369529983792544</v>
      </c>
      <c r="M65" s="475">
        <f>'５-Ⅰ②'!F31</f>
        <v>0.1653290529695024</v>
      </c>
      <c r="N65" s="475">
        <f>'５-Ⅰ②'!H31</f>
        <v>0.15471698113207547</v>
      </c>
      <c r="O65" s="475">
        <f>'５-Ⅰ②'!J31</f>
        <v>0.15432098765432098</v>
      </c>
    </row>
    <row r="66" spans="11:15" ht="18" customHeight="1" x14ac:dyDescent="0.15">
      <c r="K66" s="298" t="s">
        <v>382</v>
      </c>
      <c r="L66" s="475">
        <f>'５-Ⅰ②'!D32</f>
        <v>0.10696920583468396</v>
      </c>
      <c r="M66" s="475">
        <f>'５-Ⅰ②'!F32</f>
        <v>7.7046548956661312E-2</v>
      </c>
      <c r="N66" s="475">
        <f>'５-Ⅰ②'!H32</f>
        <v>9.4339622641509441E-2</v>
      </c>
      <c r="O66" s="475">
        <f>'５-Ⅰ②'!J32</f>
        <v>0.10493827160493827</v>
      </c>
    </row>
    <row r="67" spans="11:15" ht="18" customHeight="1" x14ac:dyDescent="0.15">
      <c r="K67" s="298" t="s">
        <v>53</v>
      </c>
      <c r="L67" s="475">
        <f>'５-Ⅰ②'!D33</f>
        <v>3.4035656401944892E-2</v>
      </c>
      <c r="M67" s="475">
        <f>'５-Ⅰ②'!F33</f>
        <v>2.8892455858747994E-2</v>
      </c>
      <c r="N67" s="475">
        <f>'５-Ⅰ②'!H33</f>
        <v>1.8867924528301886E-2</v>
      </c>
      <c r="O67" s="475">
        <f>'５-Ⅰ②'!J33</f>
        <v>1.8518518518518517E-2</v>
      </c>
    </row>
  </sheetData>
  <phoneticPr fontId="2"/>
  <pageMargins left="0.44270833333333331" right="0.41666666666666669" top="0.60606060606060608" bottom="0.51136363636363635" header="0.3" footer="0.3"/>
  <pageSetup paperSize="9" orientation="portrait" r:id="rId1"/>
  <headerFooter>
    <oddHeader>&amp;C&amp;"游ゴシック,太字"&amp;14R4年度　大阪府の在院患者の状況&amp;R&amp;"游ゴシック,標準"&amp;10R4.6.30時点</oddHeader>
    <oddFooter>&amp;R&amp;"メイリオ,レギュラー"&amp;10&amp;F</oddFooter>
  </headerFooter>
  <rowBreaks count="1" manualBreakCount="1">
    <brk id="44" max="8" man="1"/>
  </rowBreaks>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tabColor theme="7" tint="-0.249977111117893"/>
  </sheetPr>
  <dimension ref="K3:O67"/>
  <sheetViews>
    <sheetView view="pageBreakPreview" zoomScale="90" zoomScaleNormal="100" zoomScaleSheetLayoutView="90" workbookViewId="0">
      <selection activeCell="J1" sqref="J1:P1048576"/>
    </sheetView>
  </sheetViews>
  <sheetFormatPr defaultRowHeight="18" customHeight="1" x14ac:dyDescent="0.15"/>
  <cols>
    <col min="1" max="9" width="9.875" customWidth="1"/>
    <col min="10" max="10" width="13.875" customWidth="1"/>
    <col min="11" max="11" width="34.5" customWidth="1"/>
    <col min="12" max="12" width="9" customWidth="1"/>
    <col min="13" max="13" width="11.125" customWidth="1"/>
    <col min="14" max="15" width="9" customWidth="1"/>
  </cols>
  <sheetData>
    <row r="3" spans="11:13" ht="18" customHeight="1" x14ac:dyDescent="0.15">
      <c r="K3" s="455"/>
      <c r="L3" s="455" t="s">
        <v>306</v>
      </c>
      <c r="M3" s="455" t="s">
        <v>307</v>
      </c>
    </row>
    <row r="4" spans="11:13" ht="18" customHeight="1" x14ac:dyDescent="0.15">
      <c r="K4" s="525" t="s">
        <v>355</v>
      </c>
      <c r="L4" s="475">
        <f>'5-Ⅰ①'!D48</f>
        <v>0.3858695652173913</v>
      </c>
      <c r="M4" s="475">
        <f>'5-Ⅰ①'!F48</f>
        <v>0.19736842105263158</v>
      </c>
    </row>
    <row r="5" spans="11:13" ht="18" customHeight="1" x14ac:dyDescent="0.15">
      <c r="K5" s="525" t="s">
        <v>224</v>
      </c>
      <c r="L5" s="475">
        <f>'5-Ⅰ①'!D49</f>
        <v>0.24456521739130435</v>
      </c>
      <c r="M5" s="475">
        <f>'5-Ⅰ①'!F49</f>
        <v>0.19078947368421054</v>
      </c>
    </row>
    <row r="6" spans="11:13" ht="18" customHeight="1" x14ac:dyDescent="0.15">
      <c r="K6" s="525" t="s">
        <v>38</v>
      </c>
      <c r="L6" s="475">
        <f>'5-Ⅰ①'!D50</f>
        <v>6.5217391304347824E-2</v>
      </c>
      <c r="M6" s="475">
        <f>'5-Ⅰ①'!F50</f>
        <v>2.9605263157894735E-2</v>
      </c>
    </row>
    <row r="7" spans="11:13" ht="18" customHeight="1" x14ac:dyDescent="0.15">
      <c r="K7" s="525" t="s">
        <v>39</v>
      </c>
      <c r="L7" s="475">
        <f>'5-Ⅰ①'!D51</f>
        <v>0.29891304347826086</v>
      </c>
      <c r="M7" s="475">
        <f>'5-Ⅰ①'!F51</f>
        <v>0.41118421052631576</v>
      </c>
    </row>
    <row r="8" spans="11:13" ht="18" customHeight="1" x14ac:dyDescent="0.15">
      <c r="K8" s="525" t="s">
        <v>40</v>
      </c>
      <c r="L8" s="475">
        <f>'5-Ⅰ①'!D52</f>
        <v>0.30978260869565216</v>
      </c>
      <c r="M8" s="475">
        <f>'5-Ⅰ①'!F52</f>
        <v>0.30592105263157893</v>
      </c>
    </row>
    <row r="9" spans="11:13" ht="18" customHeight="1" x14ac:dyDescent="0.15">
      <c r="K9" s="525" t="s">
        <v>41</v>
      </c>
      <c r="L9" s="475">
        <f>'5-Ⅰ①'!D53</f>
        <v>0.28804347826086957</v>
      </c>
      <c r="M9" s="475">
        <f>'5-Ⅰ①'!F53</f>
        <v>0.25</v>
      </c>
    </row>
    <row r="10" spans="11:13" ht="18" customHeight="1" x14ac:dyDescent="0.15">
      <c r="K10" s="525" t="s">
        <v>42</v>
      </c>
      <c r="L10" s="475">
        <f>'5-Ⅰ①'!D54</f>
        <v>0.10869565217391304</v>
      </c>
      <c r="M10" s="475">
        <f>'5-Ⅰ①'!F54</f>
        <v>5.921052631578947E-2</v>
      </c>
    </row>
    <row r="11" spans="11:13" ht="18" customHeight="1" x14ac:dyDescent="0.15">
      <c r="K11" s="525" t="s">
        <v>43</v>
      </c>
      <c r="L11" s="475">
        <f>'5-Ⅰ①'!D55</f>
        <v>0.20652173913043478</v>
      </c>
      <c r="M11" s="475">
        <f>'5-Ⅰ①'!F55</f>
        <v>0.29605263157894735</v>
      </c>
    </row>
    <row r="12" spans="11:13" ht="18" customHeight="1" x14ac:dyDescent="0.15">
      <c r="K12" s="525" t="s">
        <v>357</v>
      </c>
      <c r="L12" s="475">
        <f>'5-Ⅰ①'!D56</f>
        <v>0.125</v>
      </c>
      <c r="M12" s="475">
        <f>'5-Ⅰ①'!F56</f>
        <v>0.15789473684210525</v>
      </c>
    </row>
    <row r="13" spans="11:13" ht="18" customHeight="1" x14ac:dyDescent="0.15">
      <c r="K13" s="526" t="s">
        <v>356</v>
      </c>
      <c r="L13" s="475">
        <f>'5-Ⅰ①'!D57</f>
        <v>0.22826086956521738</v>
      </c>
      <c r="M13" s="475">
        <f>'5-Ⅰ①'!F57</f>
        <v>0.25</v>
      </c>
    </row>
    <row r="14" spans="11:13" ht="18" customHeight="1" x14ac:dyDescent="0.15">
      <c r="K14" s="525" t="s">
        <v>46</v>
      </c>
      <c r="L14" s="475">
        <f>'5-Ⅰ①'!D58</f>
        <v>0.29347826086956524</v>
      </c>
      <c r="M14" s="475">
        <f>'5-Ⅰ①'!F58</f>
        <v>0.30263157894736842</v>
      </c>
    </row>
    <row r="15" spans="11:13" ht="18" customHeight="1" x14ac:dyDescent="0.15">
      <c r="K15" s="525" t="s">
        <v>47</v>
      </c>
      <c r="L15" s="475">
        <f>'5-Ⅰ①'!D59</f>
        <v>4.8913043478260872E-2</v>
      </c>
      <c r="M15" s="475">
        <f>'5-Ⅰ①'!F59</f>
        <v>5.2631578947368418E-2</v>
      </c>
    </row>
    <row r="16" spans="11:13" ht="18" customHeight="1" x14ac:dyDescent="0.15">
      <c r="K16" s="525" t="s">
        <v>48</v>
      </c>
      <c r="L16" s="475">
        <f>'5-Ⅰ①'!D60</f>
        <v>5.9782608695652176E-2</v>
      </c>
      <c r="M16" s="475">
        <f>'5-Ⅰ①'!F60</f>
        <v>3.9473684210526314E-2</v>
      </c>
    </row>
    <row r="17" spans="11:13" ht="18" customHeight="1" x14ac:dyDescent="0.15">
      <c r="K17" s="525" t="s">
        <v>49</v>
      </c>
      <c r="L17" s="475">
        <f>'5-Ⅰ①'!D61</f>
        <v>5.434782608695652E-3</v>
      </c>
      <c r="M17" s="475">
        <f>'5-Ⅰ①'!F61</f>
        <v>0</v>
      </c>
    </row>
    <row r="18" spans="11:13" ht="18" customHeight="1" x14ac:dyDescent="0.15">
      <c r="K18" s="525" t="s">
        <v>50</v>
      </c>
      <c r="L18" s="475">
        <f>'5-Ⅰ①'!D62</f>
        <v>8.1521739130434784E-2</v>
      </c>
      <c r="M18" s="475">
        <f>'5-Ⅰ①'!F62</f>
        <v>8.5526315789473686E-2</v>
      </c>
    </row>
    <row r="19" spans="11:13" ht="18" customHeight="1" x14ac:dyDescent="0.15">
      <c r="K19" s="525" t="s">
        <v>51</v>
      </c>
      <c r="L19" s="475">
        <f>'5-Ⅰ①'!D63</f>
        <v>9.7826086956521743E-2</v>
      </c>
      <c r="M19" s="475">
        <f>'5-Ⅰ①'!F63</f>
        <v>8.2236842105263164E-2</v>
      </c>
    </row>
    <row r="20" spans="11:13" ht="18" customHeight="1" x14ac:dyDescent="0.15">
      <c r="K20" s="525" t="s">
        <v>337</v>
      </c>
      <c r="L20" s="475">
        <f>'5-Ⅰ①'!D64</f>
        <v>3.2608695652173912E-2</v>
      </c>
      <c r="M20" s="475">
        <f>'5-Ⅰ①'!F64</f>
        <v>1.3157894736842105E-2</v>
      </c>
    </row>
    <row r="21" spans="11:13" ht="18" customHeight="1" x14ac:dyDescent="0.15">
      <c r="K21" s="688" t="s">
        <v>381</v>
      </c>
      <c r="L21" s="475">
        <f>'5-Ⅰ①'!D65</f>
        <v>3.8043478260869568E-2</v>
      </c>
      <c r="M21" s="475">
        <f>'5-Ⅰ①'!F65</f>
        <v>9.2105263157894732E-2</v>
      </c>
    </row>
    <row r="22" spans="11:13" ht="18" customHeight="1" x14ac:dyDescent="0.15">
      <c r="K22" s="688" t="s">
        <v>382</v>
      </c>
      <c r="L22" s="475">
        <f>'5-Ⅰ①'!D66</f>
        <v>3.2608695652173912E-2</v>
      </c>
      <c r="M22" s="475">
        <f>'5-Ⅰ①'!F66</f>
        <v>5.5921052631578948E-2</v>
      </c>
    </row>
    <row r="23" spans="11:13" ht="18" customHeight="1" x14ac:dyDescent="0.15">
      <c r="K23" s="688" t="s">
        <v>53</v>
      </c>
      <c r="L23" s="475">
        <f>'5-Ⅰ①'!D67</f>
        <v>3.2608695652173912E-2</v>
      </c>
      <c r="M23" s="475">
        <f>'5-Ⅰ①'!F67</f>
        <v>3.9473684210526314E-2</v>
      </c>
    </row>
    <row r="47" spans="11:15" ht="18" customHeight="1" x14ac:dyDescent="0.15">
      <c r="K47" s="537"/>
      <c r="L47" s="476" t="s">
        <v>358</v>
      </c>
      <c r="M47" s="477" t="s">
        <v>359</v>
      </c>
      <c r="N47" s="477" t="s">
        <v>360</v>
      </c>
      <c r="O47" s="476" t="s">
        <v>361</v>
      </c>
    </row>
    <row r="48" spans="11:15" ht="18" customHeight="1" x14ac:dyDescent="0.15">
      <c r="K48" s="478" t="s">
        <v>355</v>
      </c>
      <c r="L48" s="475">
        <f>'５-Ⅰ②'!D48</f>
        <v>0.24038461538461539</v>
      </c>
      <c r="M48" s="475">
        <f>'５-Ⅰ②'!F48</f>
        <v>0.23376623376623376</v>
      </c>
      <c r="N48" s="475">
        <f>'５-Ⅰ②'!H48</f>
        <v>0.42857142857142855</v>
      </c>
      <c r="O48" s="475">
        <f>'５-Ⅰ②'!J48</f>
        <v>0.2857142857142857</v>
      </c>
    </row>
    <row r="49" spans="11:15" ht="18" customHeight="1" x14ac:dyDescent="0.15">
      <c r="K49" s="478" t="s">
        <v>224</v>
      </c>
      <c r="L49" s="475">
        <f>'５-Ⅰ②'!D49</f>
        <v>0.21153846153846154</v>
      </c>
      <c r="M49" s="475">
        <f>'５-Ⅰ②'!F49</f>
        <v>0.22727272727272727</v>
      </c>
      <c r="N49" s="475">
        <f>'５-Ⅰ②'!H49</f>
        <v>0.20634920634920634</v>
      </c>
      <c r="O49" s="475">
        <f>'５-Ⅰ②'!J49</f>
        <v>0.17460317460317459</v>
      </c>
    </row>
    <row r="50" spans="11:15" ht="18" customHeight="1" x14ac:dyDescent="0.15">
      <c r="K50" s="478" t="s">
        <v>38</v>
      </c>
      <c r="L50" s="475">
        <f>'５-Ⅰ②'!D50</f>
        <v>2.8846153846153848E-2</v>
      </c>
      <c r="M50" s="475">
        <f>'５-Ⅰ②'!F50</f>
        <v>4.5454545454545456E-2</v>
      </c>
      <c r="N50" s="475">
        <f>'５-Ⅰ②'!H50</f>
        <v>9.5238095238095233E-2</v>
      </c>
      <c r="O50" s="475">
        <f>'５-Ⅰ②'!J50</f>
        <v>3.1746031746031744E-2</v>
      </c>
    </row>
    <row r="51" spans="11:15" ht="18" customHeight="1" x14ac:dyDescent="0.15">
      <c r="K51" s="478" t="s">
        <v>39</v>
      </c>
      <c r="L51" s="475">
        <f>'５-Ⅰ②'!D51</f>
        <v>0.19230769230769232</v>
      </c>
      <c r="M51" s="475">
        <f>'５-Ⅰ②'!F51</f>
        <v>0.46103896103896103</v>
      </c>
      <c r="N51" s="475">
        <f>'５-Ⅰ②'!H51</f>
        <v>0.5714285714285714</v>
      </c>
      <c r="O51" s="475">
        <f>'５-Ⅰ②'!J51</f>
        <v>0.52380952380952384</v>
      </c>
    </row>
    <row r="52" spans="11:15" ht="18" customHeight="1" x14ac:dyDescent="0.15">
      <c r="K52" s="478" t="s">
        <v>40</v>
      </c>
      <c r="L52" s="475">
        <f>'５-Ⅰ②'!D52</f>
        <v>0.3125</v>
      </c>
      <c r="M52" s="475">
        <f>'５-Ⅰ②'!F52</f>
        <v>0.24675324675324675</v>
      </c>
      <c r="N52" s="475">
        <f>'５-Ⅰ②'!H52</f>
        <v>0.34920634920634919</v>
      </c>
      <c r="O52" s="475">
        <f>'５-Ⅰ②'!J52</f>
        <v>0.3968253968253968</v>
      </c>
    </row>
    <row r="53" spans="11:15" ht="18" customHeight="1" x14ac:dyDescent="0.15">
      <c r="K53" s="478" t="s">
        <v>41</v>
      </c>
      <c r="L53" s="475">
        <f>'５-Ⅰ②'!D53</f>
        <v>0.16346153846153846</v>
      </c>
      <c r="M53" s="475">
        <f>'５-Ⅰ②'!F53</f>
        <v>0.2792207792207792</v>
      </c>
      <c r="N53" s="475">
        <f>'５-Ⅰ②'!H53</f>
        <v>0.41269841269841268</v>
      </c>
      <c r="O53" s="475">
        <f>'５-Ⅰ②'!J53</f>
        <v>0.41269841269841268</v>
      </c>
    </row>
    <row r="54" spans="11:15" ht="18" customHeight="1" x14ac:dyDescent="0.15">
      <c r="K54" s="478" t="s">
        <v>42</v>
      </c>
      <c r="L54" s="475">
        <f>'５-Ⅰ②'!D54</f>
        <v>6.25E-2</v>
      </c>
      <c r="M54" s="475">
        <f>'５-Ⅰ②'!F54</f>
        <v>9.0909090909090912E-2</v>
      </c>
      <c r="N54" s="475">
        <f>'５-Ⅰ②'!H54</f>
        <v>9.5238095238095233E-2</v>
      </c>
      <c r="O54" s="475">
        <f>'５-Ⅰ②'!J54</f>
        <v>7.9365079365079361E-2</v>
      </c>
    </row>
    <row r="55" spans="11:15" ht="18" customHeight="1" x14ac:dyDescent="0.15">
      <c r="K55" s="478" t="s">
        <v>43</v>
      </c>
      <c r="L55" s="475">
        <f>'５-Ⅰ②'!D55</f>
        <v>0.26442307692307693</v>
      </c>
      <c r="M55" s="475">
        <f>'５-Ⅰ②'!F55</f>
        <v>0.23376623376623376</v>
      </c>
      <c r="N55" s="475">
        <f>'５-Ⅰ②'!H55</f>
        <v>0.34920634920634919</v>
      </c>
      <c r="O55" s="475">
        <f>'５-Ⅰ②'!J55</f>
        <v>0.23809523809523808</v>
      </c>
    </row>
    <row r="56" spans="11:15" ht="18" customHeight="1" x14ac:dyDescent="0.15">
      <c r="K56" s="478" t="s">
        <v>357</v>
      </c>
      <c r="L56" s="475">
        <f>'５-Ⅰ②'!D56</f>
        <v>0.10576923076923077</v>
      </c>
      <c r="M56" s="475">
        <f>'５-Ⅰ②'!F56</f>
        <v>0.19480519480519481</v>
      </c>
      <c r="N56" s="475">
        <f>'５-Ⅰ②'!H56</f>
        <v>0.15873015873015872</v>
      </c>
      <c r="O56" s="475">
        <f>'５-Ⅰ②'!J56</f>
        <v>0.14285714285714285</v>
      </c>
    </row>
    <row r="57" spans="11:15" ht="18" customHeight="1" x14ac:dyDescent="0.15">
      <c r="K57" s="479" t="s">
        <v>356</v>
      </c>
      <c r="L57" s="475">
        <f>'５-Ⅰ②'!D57</f>
        <v>0.18269230769230768</v>
      </c>
      <c r="M57" s="475">
        <f>'５-Ⅰ②'!F57</f>
        <v>0.22077922077922077</v>
      </c>
      <c r="N57" s="475">
        <f>'５-Ⅰ②'!H57</f>
        <v>0.3968253968253968</v>
      </c>
      <c r="O57" s="475">
        <f>'５-Ⅰ②'!J57</f>
        <v>0.33333333333333331</v>
      </c>
    </row>
    <row r="58" spans="11:15" ht="18" customHeight="1" x14ac:dyDescent="0.15">
      <c r="K58" s="478" t="s">
        <v>46</v>
      </c>
      <c r="L58" s="475">
        <f>'５-Ⅰ②'!D58</f>
        <v>0.36538461538461536</v>
      </c>
      <c r="M58" s="475">
        <f>'５-Ⅰ②'!F58</f>
        <v>0.2857142857142857</v>
      </c>
      <c r="N58" s="475">
        <f>'５-Ⅰ②'!H58</f>
        <v>0.22222222222222221</v>
      </c>
      <c r="O58" s="475">
        <f>'５-Ⅰ②'!J58</f>
        <v>0.19047619047619047</v>
      </c>
    </row>
    <row r="59" spans="11:15" ht="18" customHeight="1" x14ac:dyDescent="0.15">
      <c r="K59" s="478" t="s">
        <v>47</v>
      </c>
      <c r="L59" s="475">
        <f>'５-Ⅰ②'!D59</f>
        <v>2.8846153846153848E-2</v>
      </c>
      <c r="M59" s="475">
        <f>'５-Ⅰ②'!F59</f>
        <v>6.4935064935064929E-2</v>
      </c>
      <c r="N59" s="475">
        <f>'５-Ⅰ②'!H59</f>
        <v>0.1111111111111111</v>
      </c>
      <c r="O59" s="475">
        <f>'５-Ⅰ②'!J59</f>
        <v>3.1746031746031744E-2</v>
      </c>
    </row>
    <row r="60" spans="11:15" ht="18" customHeight="1" x14ac:dyDescent="0.15">
      <c r="K60" s="478" t="s">
        <v>48</v>
      </c>
      <c r="L60" s="475">
        <f>'５-Ⅰ②'!D60</f>
        <v>6.25E-2</v>
      </c>
      <c r="M60" s="475">
        <f>'５-Ⅰ②'!F60</f>
        <v>3.896103896103896E-2</v>
      </c>
      <c r="N60" s="475">
        <f>'５-Ⅰ②'!H60</f>
        <v>4.7619047619047616E-2</v>
      </c>
      <c r="O60" s="475">
        <f>'５-Ⅰ②'!J60</f>
        <v>1.5873015873015872E-2</v>
      </c>
    </row>
    <row r="61" spans="11:15" ht="18" customHeight="1" x14ac:dyDescent="0.15">
      <c r="K61" s="478" t="s">
        <v>49</v>
      </c>
      <c r="L61" s="475">
        <f>'５-Ⅰ②'!D61</f>
        <v>0</v>
      </c>
      <c r="M61" s="475">
        <f>'５-Ⅰ②'!F61</f>
        <v>6.4935064935064939E-3</v>
      </c>
      <c r="N61" s="475">
        <f>'５-Ⅰ②'!H61</f>
        <v>0</v>
      </c>
      <c r="O61" s="475">
        <f>'５-Ⅰ②'!J61</f>
        <v>0</v>
      </c>
    </row>
    <row r="62" spans="11:15" ht="18" customHeight="1" x14ac:dyDescent="0.15">
      <c r="K62" s="478" t="s">
        <v>50</v>
      </c>
      <c r="L62" s="475">
        <f>'５-Ⅰ②'!D62</f>
        <v>9.6153846153846159E-2</v>
      </c>
      <c r="M62" s="475">
        <f>'５-Ⅰ②'!F62</f>
        <v>9.7402597402597407E-2</v>
      </c>
      <c r="N62" s="475">
        <f>'５-Ⅰ②'!H62</f>
        <v>4.7619047619047616E-2</v>
      </c>
      <c r="O62" s="475">
        <f>'５-Ⅰ②'!J62</f>
        <v>4.7619047619047616E-2</v>
      </c>
    </row>
    <row r="63" spans="11:15" ht="18" customHeight="1" x14ac:dyDescent="0.15">
      <c r="K63" s="478" t="s">
        <v>51</v>
      </c>
      <c r="L63" s="475">
        <f>'５-Ⅰ②'!D63</f>
        <v>9.6153846153846159E-2</v>
      </c>
      <c r="M63" s="475">
        <f>'５-Ⅰ②'!F63</f>
        <v>7.1428571428571425E-2</v>
      </c>
      <c r="N63" s="475">
        <f>'５-Ⅰ②'!H63</f>
        <v>0.12698412698412698</v>
      </c>
      <c r="O63" s="475">
        <f>'５-Ⅰ②'!J63</f>
        <v>6.3492063492063489E-2</v>
      </c>
    </row>
    <row r="64" spans="11:15" ht="18" customHeight="1" x14ac:dyDescent="0.15">
      <c r="K64" s="478" t="s">
        <v>337</v>
      </c>
      <c r="L64" s="475">
        <f>'５-Ⅰ②'!D64</f>
        <v>2.8846153846153848E-2</v>
      </c>
      <c r="M64" s="475">
        <f>'５-Ⅰ②'!F64</f>
        <v>1.2987012987012988E-2</v>
      </c>
      <c r="N64" s="475">
        <f>'５-Ⅰ②'!H64</f>
        <v>3.1746031746031744E-2</v>
      </c>
      <c r="O64" s="475">
        <f>'５-Ⅰ②'!J64</f>
        <v>0</v>
      </c>
    </row>
    <row r="65" spans="11:15" ht="18" customHeight="1" x14ac:dyDescent="0.15">
      <c r="K65" s="478" t="s">
        <v>381</v>
      </c>
      <c r="L65" s="475">
        <f>'５-Ⅰ②'!D65</f>
        <v>9.6153846153846159E-2</v>
      </c>
      <c r="M65" s="475">
        <f>'５-Ⅰ②'!F65</f>
        <v>5.844155844155844E-2</v>
      </c>
      <c r="N65" s="475">
        <f>'５-Ⅰ②'!H65</f>
        <v>4.7619047619047616E-2</v>
      </c>
      <c r="O65" s="475">
        <f>'５-Ⅰ②'!J65</f>
        <v>4.7619047619047616E-2</v>
      </c>
    </row>
    <row r="66" spans="11:15" ht="18" customHeight="1" x14ac:dyDescent="0.15">
      <c r="K66" s="298" t="s">
        <v>382</v>
      </c>
      <c r="L66" s="475">
        <f>'５-Ⅰ②'!D66</f>
        <v>9.1346153846153841E-2</v>
      </c>
      <c r="M66" s="475">
        <f>'５-Ⅰ②'!F66</f>
        <v>6.4935064935064939E-3</v>
      </c>
      <c r="N66" s="475">
        <f>'５-Ⅰ②'!H66</f>
        <v>0</v>
      </c>
      <c r="O66" s="475">
        <f>'５-Ⅰ②'!J66</f>
        <v>4.7619047619047616E-2</v>
      </c>
    </row>
    <row r="67" spans="11:15" ht="18" customHeight="1" x14ac:dyDescent="0.15">
      <c r="K67" s="298" t="s">
        <v>53</v>
      </c>
      <c r="L67" s="475">
        <f>'５-Ⅰ②'!D67</f>
        <v>4.807692307692308E-2</v>
      </c>
      <c r="M67" s="475">
        <f>'５-Ⅰ②'!F67</f>
        <v>3.2467532467532464E-2</v>
      </c>
      <c r="N67" s="475">
        <f>'５-Ⅰ②'!H67</f>
        <v>1.5873015873015872E-2</v>
      </c>
      <c r="O67" s="475">
        <f>'５-Ⅰ②'!J67</f>
        <v>3.1746031746031744E-2</v>
      </c>
    </row>
  </sheetData>
  <phoneticPr fontId="2"/>
  <pageMargins left="0.44270833333333331" right="0.41666666666666669" top="0.60606060606060608" bottom="0.51136363636363635" header="0.3" footer="0.3"/>
  <pageSetup paperSize="9" orientation="portrait" r:id="rId1"/>
  <headerFooter>
    <oddHeader>&amp;C&amp;"游ゴシック,太字"&amp;14R4年度　大阪府の在院患者の状況&amp;R&amp;"游ゴシック,標準"&amp;10R4.6.30時点</oddHeader>
    <oddFooter>&amp;R&amp;"メイリオ,レギュラー"&amp;10&amp;F</oddFooter>
  </headerFooter>
  <rowBreaks count="1" manualBreakCount="1">
    <brk id="44" max="8"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6" tint="-0.249977111117893"/>
    <pageSetUpPr fitToPage="1"/>
  </sheetPr>
  <dimension ref="A1:U47"/>
  <sheetViews>
    <sheetView showGridLines="0" view="pageBreakPreview" topLeftCell="F1" zoomScale="80" zoomScaleNormal="100" zoomScaleSheetLayoutView="80" workbookViewId="0">
      <selection activeCell="K1" sqref="K1:U1048576"/>
    </sheetView>
  </sheetViews>
  <sheetFormatPr defaultRowHeight="18.75" x14ac:dyDescent="0.15"/>
  <cols>
    <col min="1" max="1" width="22.75" style="1" bestFit="1" customWidth="1"/>
    <col min="2" max="3" width="9.375" style="1" customWidth="1"/>
    <col min="4" max="4" width="6.625" style="1" customWidth="1"/>
    <col min="5" max="5" width="22.75" style="1" bestFit="1" customWidth="1"/>
    <col min="6" max="9" width="9.375" style="1" customWidth="1"/>
    <col min="10" max="10" width="9" style="1"/>
    <col min="11" max="11" width="18.75" style="1" hidden="1" customWidth="1"/>
    <col min="12" max="12" width="10.25" style="1" hidden="1" customWidth="1"/>
    <col min="13" max="13" width="9" style="1" hidden="1" customWidth="1"/>
    <col min="14" max="14" width="19.625" style="1" hidden="1" customWidth="1"/>
    <col min="15" max="15" width="9" style="1" hidden="1" customWidth="1"/>
    <col min="16" max="16" width="19.625" style="1" hidden="1" customWidth="1"/>
    <col min="17" max="17" width="10.25" style="1" hidden="1" customWidth="1"/>
    <col min="18" max="19" width="9" style="1" hidden="1" customWidth="1"/>
    <col min="20" max="20" width="20.125" style="1" hidden="1" customWidth="1"/>
    <col min="21" max="21" width="9" style="1" hidden="1" customWidth="1"/>
    <col min="22" max="16384" width="9" style="1"/>
  </cols>
  <sheetData>
    <row r="1" spans="1:20" s="3" customFormat="1" ht="19.5" x14ac:dyDescent="0.15">
      <c r="A1" s="2" t="s">
        <v>124</v>
      </c>
    </row>
    <row r="2" spans="1:20" x14ac:dyDescent="0.15">
      <c r="A2" s="4"/>
      <c r="K2" s="55" t="s">
        <v>63</v>
      </c>
    </row>
    <row r="3" spans="1:20" s="3" customFormat="1" ht="20.25" thickBot="1" x14ac:dyDescent="0.2">
      <c r="A3" s="4" t="s">
        <v>13</v>
      </c>
      <c r="E3" s="4" t="s">
        <v>125</v>
      </c>
      <c r="F3" s="4"/>
      <c r="G3" s="4"/>
      <c r="K3" s="424" t="s">
        <v>299</v>
      </c>
      <c r="L3" s="480" t="s">
        <v>278</v>
      </c>
      <c r="N3" s="383" t="s">
        <v>299</v>
      </c>
      <c r="O3" s="480" t="s">
        <v>276</v>
      </c>
      <c r="P3" s="383" t="s">
        <v>299</v>
      </c>
      <c r="Q3" s="480" t="s">
        <v>277</v>
      </c>
    </row>
    <row r="4" spans="1:20" ht="20.25" thickTop="1" thickBot="1" x14ac:dyDescent="0.2">
      <c r="A4" s="255"/>
      <c r="B4" s="255" t="s">
        <v>0</v>
      </c>
      <c r="C4" s="255" t="s">
        <v>1</v>
      </c>
      <c r="E4" s="255"/>
      <c r="F4" s="255" t="s">
        <v>126</v>
      </c>
      <c r="G4" s="301" t="s">
        <v>127</v>
      </c>
      <c r="H4" s="255" t="s">
        <v>12</v>
      </c>
      <c r="I4" s="255" t="s">
        <v>1</v>
      </c>
      <c r="K4" s="485" t="s">
        <v>373</v>
      </c>
      <c r="L4" s="34" t="s">
        <v>618</v>
      </c>
      <c r="N4" s="485" t="s">
        <v>373</v>
      </c>
      <c r="O4" s="34" t="s">
        <v>618</v>
      </c>
      <c r="P4" s="485" t="s">
        <v>373</v>
      </c>
      <c r="Q4" s="34" t="s">
        <v>618</v>
      </c>
    </row>
    <row r="5" spans="1:20" ht="19.5" thickTop="1" x14ac:dyDescent="0.15">
      <c r="A5" s="294" t="s">
        <v>128</v>
      </c>
      <c r="B5" s="258">
        <f>IFERROR(VLOOKUP($T5,在院期間[#All],2,FALSE),0)</f>
        <v>1712</v>
      </c>
      <c r="C5" s="296">
        <f>IFERROR(B5/B$21,"-")</f>
        <v>0.11419423692636073</v>
      </c>
      <c r="E5" s="294" t="s">
        <v>128</v>
      </c>
      <c r="F5" s="258">
        <f>IFERROR(VLOOKUP($T5,在院期間＿寛解[#All],2,FALSE),0)</f>
        <v>114</v>
      </c>
      <c r="G5" s="258">
        <f>IFERROR(VLOOKUP($T5,在院期間＿院内寛解[#All],2,FALSE),0)</f>
        <v>225</v>
      </c>
      <c r="H5" s="256">
        <f>SUM(F5:G5)</f>
        <v>339</v>
      </c>
      <c r="I5" s="296">
        <f>IFERROR(H5/H$21,"-")</f>
        <v>0.20458660229330114</v>
      </c>
      <c r="K5" s="42" t="s">
        <v>182</v>
      </c>
      <c r="L5" s="59">
        <v>1712</v>
      </c>
      <c r="N5" s="42" t="s">
        <v>182</v>
      </c>
      <c r="O5" s="59">
        <v>114</v>
      </c>
      <c r="P5" s="42" t="s">
        <v>182</v>
      </c>
      <c r="Q5" s="59">
        <v>225</v>
      </c>
      <c r="T5" s="402" t="s">
        <v>182</v>
      </c>
    </row>
    <row r="6" spans="1:20" x14ac:dyDescent="0.15">
      <c r="A6" s="294" t="s">
        <v>129</v>
      </c>
      <c r="B6" s="258">
        <f>IFERROR(VLOOKUP($T6,在院期間[#All],2,FALSE),0)</f>
        <v>2041</v>
      </c>
      <c r="C6" s="296">
        <f t="shared" ref="C6:C20" si="0">IFERROR(B6/B$21,"-")</f>
        <v>0.13613927427961581</v>
      </c>
      <c r="E6" s="294" t="s">
        <v>130</v>
      </c>
      <c r="F6" s="258">
        <f>IFERROR(VLOOKUP($T6,在院期間＿寛解[#All],2,FALSE),0)</f>
        <v>127</v>
      </c>
      <c r="G6" s="258">
        <f>IFERROR(VLOOKUP($T6,在院期間＿院内寛解[#All],2,FALSE),0)</f>
        <v>344</v>
      </c>
      <c r="H6" s="256">
        <f t="shared" ref="H6:H20" si="1">SUM(F6:G6)</f>
        <v>471</v>
      </c>
      <c r="I6" s="296">
        <f t="shared" ref="I6:I20" si="2">IFERROR(H6/H$21,"-")</f>
        <v>0.28424864212432105</v>
      </c>
      <c r="K6" s="42" t="s">
        <v>183</v>
      </c>
      <c r="L6" s="59">
        <v>2041</v>
      </c>
      <c r="N6" s="42" t="s">
        <v>183</v>
      </c>
      <c r="O6" s="395">
        <v>127</v>
      </c>
      <c r="P6" s="404" t="s">
        <v>183</v>
      </c>
      <c r="Q6" s="127">
        <v>344</v>
      </c>
      <c r="T6" s="402" t="s">
        <v>183</v>
      </c>
    </row>
    <row r="7" spans="1:20" x14ac:dyDescent="0.15">
      <c r="A7" s="294" t="s">
        <v>131</v>
      </c>
      <c r="B7" s="258">
        <f>IFERROR(VLOOKUP($T7,在院期間[#All],2,FALSE),0)</f>
        <v>1041</v>
      </c>
      <c r="C7" s="296">
        <f t="shared" si="0"/>
        <v>6.9437033084311636E-2</v>
      </c>
      <c r="E7" s="294" t="s">
        <v>131</v>
      </c>
      <c r="F7" s="258">
        <f>IFERROR(VLOOKUP($T7,在院期間＿寛解[#All],2,FALSE),0)</f>
        <v>44</v>
      </c>
      <c r="G7" s="258">
        <f>IFERROR(VLOOKUP($T7,在院期間＿院内寛解[#All],2,FALSE),0)</f>
        <v>130</v>
      </c>
      <c r="H7" s="256">
        <f t="shared" si="1"/>
        <v>174</v>
      </c>
      <c r="I7" s="296">
        <f t="shared" si="2"/>
        <v>0.10500905250452625</v>
      </c>
      <c r="K7" s="42" t="s">
        <v>184</v>
      </c>
      <c r="L7" s="59">
        <v>1041</v>
      </c>
      <c r="N7" s="42" t="s">
        <v>184</v>
      </c>
      <c r="O7" s="395">
        <v>44</v>
      </c>
      <c r="P7" s="404" t="s">
        <v>184</v>
      </c>
      <c r="Q7" s="127">
        <v>130</v>
      </c>
      <c r="T7" s="403" t="s">
        <v>184</v>
      </c>
    </row>
    <row r="8" spans="1:20" x14ac:dyDescent="0.15">
      <c r="A8" s="294" t="s">
        <v>132</v>
      </c>
      <c r="B8" s="258">
        <f>IFERROR(VLOOKUP($T8,在院期間[#All],2,FALSE),0)</f>
        <v>1434</v>
      </c>
      <c r="C8" s="296">
        <f t="shared" si="0"/>
        <v>9.5651013874066174E-2</v>
      </c>
      <c r="E8" s="294" t="s">
        <v>132</v>
      </c>
      <c r="F8" s="258">
        <f>IFERROR(VLOOKUP($T8,在院期間＿寛解[#All],2,FALSE),0)</f>
        <v>31</v>
      </c>
      <c r="G8" s="258">
        <f>IFERROR(VLOOKUP($T8,在院期間＿院内寛解[#All],2,FALSE),0)</f>
        <v>121</v>
      </c>
      <c r="H8" s="256">
        <f t="shared" si="1"/>
        <v>152</v>
      </c>
      <c r="I8" s="296">
        <f t="shared" si="2"/>
        <v>9.1732045866022932E-2</v>
      </c>
      <c r="K8" s="42" t="s">
        <v>185</v>
      </c>
      <c r="L8" s="59">
        <v>1434</v>
      </c>
      <c r="N8" s="42" t="s">
        <v>185</v>
      </c>
      <c r="O8" s="395">
        <v>31</v>
      </c>
      <c r="P8" s="404" t="s">
        <v>185</v>
      </c>
      <c r="Q8" s="127">
        <v>121</v>
      </c>
      <c r="T8" s="402" t="s">
        <v>185</v>
      </c>
    </row>
    <row r="9" spans="1:20" x14ac:dyDescent="0.15">
      <c r="A9" s="294" t="s">
        <v>133</v>
      </c>
      <c r="B9" s="258">
        <f>IFERROR(VLOOKUP($T9,在院期間[#All],2,FALSE),0)</f>
        <v>921</v>
      </c>
      <c r="C9" s="296">
        <f t="shared" si="0"/>
        <v>6.1432764140875132E-2</v>
      </c>
      <c r="E9" s="294" t="s">
        <v>133</v>
      </c>
      <c r="F9" s="258">
        <f>IFERROR(VLOOKUP($T9,在院期間＿寛解[#All],2,FALSE),0)</f>
        <v>10</v>
      </c>
      <c r="G9" s="258">
        <f>IFERROR(VLOOKUP($T9,在院期間＿院内寛解[#All],2,FALSE),0)</f>
        <v>54</v>
      </c>
      <c r="H9" s="256">
        <f t="shared" si="1"/>
        <v>64</v>
      </c>
      <c r="I9" s="296">
        <f t="shared" si="2"/>
        <v>3.8624019312009657E-2</v>
      </c>
      <c r="K9" s="42" t="s">
        <v>186</v>
      </c>
      <c r="L9" s="59">
        <v>921</v>
      </c>
      <c r="N9" s="42" t="s">
        <v>186</v>
      </c>
      <c r="O9" s="395">
        <v>10</v>
      </c>
      <c r="P9" s="404" t="s">
        <v>186</v>
      </c>
      <c r="Q9" s="127">
        <v>54</v>
      </c>
      <c r="T9" s="403" t="s">
        <v>186</v>
      </c>
    </row>
    <row r="10" spans="1:20" x14ac:dyDescent="0.15">
      <c r="A10" s="294" t="s">
        <v>134</v>
      </c>
      <c r="B10" s="258">
        <f>IFERROR(VLOOKUP($T10,在院期間[#All],2,FALSE),0)</f>
        <v>759</v>
      </c>
      <c r="C10" s="296">
        <f t="shared" si="0"/>
        <v>5.0627001067235861E-2</v>
      </c>
      <c r="E10" s="294" t="s">
        <v>134</v>
      </c>
      <c r="F10" s="258">
        <f>IFERROR(VLOOKUP($T10,在院期間＿寛解[#All],2,FALSE),0)</f>
        <v>4</v>
      </c>
      <c r="G10" s="258">
        <f>IFERROR(VLOOKUP($T10,在院期間＿院内寛解[#All],2,FALSE),0)</f>
        <v>56</v>
      </c>
      <c r="H10" s="256">
        <f t="shared" si="1"/>
        <v>60</v>
      </c>
      <c r="I10" s="296">
        <f t="shared" si="2"/>
        <v>3.6210018105009054E-2</v>
      </c>
      <c r="K10" s="42" t="s">
        <v>187</v>
      </c>
      <c r="L10" s="59">
        <v>759</v>
      </c>
      <c r="N10" s="42" t="s">
        <v>187</v>
      </c>
      <c r="O10" s="395">
        <v>4</v>
      </c>
      <c r="P10" s="404" t="s">
        <v>187</v>
      </c>
      <c r="Q10" s="127">
        <v>56</v>
      </c>
      <c r="T10" s="402" t="s">
        <v>187</v>
      </c>
    </row>
    <row r="11" spans="1:20" x14ac:dyDescent="0.15">
      <c r="A11" s="294" t="s">
        <v>135</v>
      </c>
      <c r="B11" s="258">
        <f>IFERROR(VLOOKUP($T11,在院期間[#All],2,FALSE),0)</f>
        <v>1261</v>
      </c>
      <c r="C11" s="296">
        <f t="shared" si="0"/>
        <v>8.4111526147278542E-2</v>
      </c>
      <c r="E11" s="294" t="s">
        <v>26</v>
      </c>
      <c r="F11" s="258">
        <f>IFERROR(VLOOKUP($T11,在院期間＿寛解[#All],2,FALSE),0)</f>
        <v>11</v>
      </c>
      <c r="G11" s="258">
        <f>IFERROR(VLOOKUP($T11,在院期間＿院内寛解[#All],2,FALSE),0)</f>
        <v>65</v>
      </c>
      <c r="H11" s="256">
        <f t="shared" si="1"/>
        <v>76</v>
      </c>
      <c r="I11" s="296">
        <f t="shared" si="2"/>
        <v>4.5866022933011466E-2</v>
      </c>
      <c r="K11" s="42" t="s">
        <v>188</v>
      </c>
      <c r="L11" s="59">
        <v>1261</v>
      </c>
      <c r="N11" s="42" t="s">
        <v>188</v>
      </c>
      <c r="O11" s="395">
        <v>11</v>
      </c>
      <c r="P11" s="404" t="s">
        <v>188</v>
      </c>
      <c r="Q11" s="127">
        <v>65</v>
      </c>
      <c r="T11" s="403" t="s">
        <v>188</v>
      </c>
    </row>
    <row r="12" spans="1:20" x14ac:dyDescent="0.15">
      <c r="A12" s="294" t="s">
        <v>27</v>
      </c>
      <c r="B12" s="258">
        <f>IFERROR(VLOOKUP($T12,在院期間[#All],2,FALSE),0)</f>
        <v>935</v>
      </c>
      <c r="C12" s="296">
        <f t="shared" si="0"/>
        <v>6.236659551760939E-2</v>
      </c>
      <c r="E12" s="294" t="s">
        <v>27</v>
      </c>
      <c r="F12" s="258">
        <f>IFERROR(VLOOKUP($T12,在院期間＿寛解[#All],2,FALSE),0)</f>
        <v>12</v>
      </c>
      <c r="G12" s="258">
        <f>IFERROR(VLOOKUP($T12,在院期間＿院内寛解[#All],2,FALSE),0)</f>
        <v>59</v>
      </c>
      <c r="H12" s="256">
        <f t="shared" si="1"/>
        <v>71</v>
      </c>
      <c r="I12" s="296">
        <f t="shared" si="2"/>
        <v>4.284852142426071E-2</v>
      </c>
      <c r="K12" s="42" t="s">
        <v>189</v>
      </c>
      <c r="L12" s="59">
        <v>935</v>
      </c>
      <c r="N12" s="42" t="s">
        <v>189</v>
      </c>
      <c r="O12" s="395">
        <v>12</v>
      </c>
      <c r="P12" s="404" t="s">
        <v>189</v>
      </c>
      <c r="Q12" s="127">
        <v>59</v>
      </c>
      <c r="T12" s="402" t="s">
        <v>189</v>
      </c>
    </row>
    <row r="13" spans="1:20" x14ac:dyDescent="0.15">
      <c r="A13" s="294" t="s">
        <v>136</v>
      </c>
      <c r="B13" s="258">
        <f>IFERROR(VLOOKUP($T13,在院期間[#All],2,FALSE),0)</f>
        <v>758</v>
      </c>
      <c r="C13" s="296">
        <f t="shared" si="0"/>
        <v>5.0560298826040552E-2</v>
      </c>
      <c r="E13" s="294" t="s">
        <v>136</v>
      </c>
      <c r="F13" s="258">
        <f>IFERROR(VLOOKUP($T13,在院期間＿寛解[#All],2,FALSE),0)</f>
        <v>5</v>
      </c>
      <c r="G13" s="258">
        <f>IFERROR(VLOOKUP($T13,在院期間＿院内寛解[#All],2,FALSE),0)</f>
        <v>39</v>
      </c>
      <c r="H13" s="256">
        <f t="shared" si="1"/>
        <v>44</v>
      </c>
      <c r="I13" s="296">
        <f t="shared" si="2"/>
        <v>2.6554013277006638E-2</v>
      </c>
      <c r="K13" s="42" t="s">
        <v>190</v>
      </c>
      <c r="L13" s="59">
        <v>758</v>
      </c>
      <c r="N13" s="42" t="s">
        <v>190</v>
      </c>
      <c r="O13" s="395">
        <v>5</v>
      </c>
      <c r="P13" s="404" t="s">
        <v>190</v>
      </c>
      <c r="Q13" s="127">
        <v>39</v>
      </c>
      <c r="T13" s="403" t="s">
        <v>190</v>
      </c>
    </row>
    <row r="14" spans="1:20" x14ac:dyDescent="0.15">
      <c r="A14" s="294" t="s">
        <v>137</v>
      </c>
      <c r="B14" s="258">
        <f>IFERROR(VLOOKUP($T14,在院期間[#All],2,FALSE),0)</f>
        <v>577</v>
      </c>
      <c r="C14" s="296">
        <f t="shared" si="0"/>
        <v>3.8487193169690501E-2</v>
      </c>
      <c r="E14" s="294" t="s">
        <v>137</v>
      </c>
      <c r="F14" s="258">
        <f>IFERROR(VLOOKUP($T14,在院期間＿寛解[#All],2,FALSE),0)</f>
        <v>3</v>
      </c>
      <c r="G14" s="258">
        <f>IFERROR(VLOOKUP($T14,在院期間＿院内寛解[#All],2,FALSE),0)</f>
        <v>34</v>
      </c>
      <c r="H14" s="256">
        <f t="shared" si="1"/>
        <v>37</v>
      </c>
      <c r="I14" s="296">
        <f t="shared" si="2"/>
        <v>2.2329511164755584E-2</v>
      </c>
      <c r="K14" s="42" t="s">
        <v>191</v>
      </c>
      <c r="L14" s="59">
        <v>577</v>
      </c>
      <c r="N14" s="42" t="s">
        <v>191</v>
      </c>
      <c r="O14" s="395">
        <v>3</v>
      </c>
      <c r="P14" s="404" t="s">
        <v>191</v>
      </c>
      <c r="Q14" s="127">
        <v>34</v>
      </c>
      <c r="T14" s="402" t="s">
        <v>191</v>
      </c>
    </row>
    <row r="15" spans="1:20" x14ac:dyDescent="0.15">
      <c r="A15" s="294" t="s">
        <v>138</v>
      </c>
      <c r="B15" s="258">
        <f>IFERROR(VLOOKUP($T15,在院期間[#All],2,FALSE),0)</f>
        <v>397</v>
      </c>
      <c r="C15" s="296">
        <f t="shared" si="0"/>
        <v>2.6480789754535751E-2</v>
      </c>
      <c r="E15" s="294" t="s">
        <v>138</v>
      </c>
      <c r="F15" s="258">
        <f>IFERROR(VLOOKUP($T15,在院期間＿寛解[#All],2,FALSE),0)</f>
        <v>1</v>
      </c>
      <c r="G15" s="258">
        <f>IFERROR(VLOOKUP($T15,在院期間＿院内寛解[#All],2,FALSE),0)</f>
        <v>20</v>
      </c>
      <c r="H15" s="256">
        <f t="shared" si="1"/>
        <v>21</v>
      </c>
      <c r="I15" s="296">
        <f t="shared" si="2"/>
        <v>1.2673506336753168E-2</v>
      </c>
      <c r="K15" s="42" t="s">
        <v>192</v>
      </c>
      <c r="L15" s="59">
        <v>397</v>
      </c>
      <c r="N15" s="42" t="s">
        <v>192</v>
      </c>
      <c r="O15" s="395">
        <v>1</v>
      </c>
      <c r="P15" s="404" t="s">
        <v>192</v>
      </c>
      <c r="Q15" s="127">
        <v>20</v>
      </c>
      <c r="T15" s="403" t="s">
        <v>192</v>
      </c>
    </row>
    <row r="16" spans="1:20" x14ac:dyDescent="0.15">
      <c r="A16" s="294" t="s">
        <v>139</v>
      </c>
      <c r="B16" s="258">
        <f>IFERROR(VLOOKUP($T16,在院期間[#All],2,FALSE),0)</f>
        <v>367</v>
      </c>
      <c r="C16" s="296">
        <f t="shared" si="0"/>
        <v>2.4479722518676628E-2</v>
      </c>
      <c r="E16" s="294" t="s">
        <v>139</v>
      </c>
      <c r="F16" s="258">
        <f>IFERROR(VLOOKUP($T16,在院期間＿寛解[#All],2,FALSE),0)</f>
        <v>2</v>
      </c>
      <c r="G16" s="258">
        <f>IFERROR(VLOOKUP($T16,在院期間＿院内寛解[#All],2,FALSE),0)</f>
        <v>21</v>
      </c>
      <c r="H16" s="256">
        <f t="shared" si="1"/>
        <v>23</v>
      </c>
      <c r="I16" s="296">
        <f t="shared" si="2"/>
        <v>1.388050694025347E-2</v>
      </c>
      <c r="K16" s="42" t="s">
        <v>193</v>
      </c>
      <c r="L16" s="59">
        <v>367</v>
      </c>
      <c r="N16" s="42" t="s">
        <v>193</v>
      </c>
      <c r="O16" s="395">
        <v>2</v>
      </c>
      <c r="P16" s="404" t="s">
        <v>193</v>
      </c>
      <c r="Q16" s="127">
        <v>21</v>
      </c>
      <c r="T16" s="402" t="s">
        <v>193</v>
      </c>
    </row>
    <row r="17" spans="1:20" x14ac:dyDescent="0.15">
      <c r="A17" s="294" t="s">
        <v>140</v>
      </c>
      <c r="B17" s="258">
        <f>IFERROR(VLOOKUP($T17,在院期間[#All],2,FALSE),0)</f>
        <v>311</v>
      </c>
      <c r="C17" s="296">
        <f t="shared" si="0"/>
        <v>2.0744397011739593E-2</v>
      </c>
      <c r="E17" s="294" t="s">
        <v>140</v>
      </c>
      <c r="F17" s="258">
        <f>IFERROR(VLOOKUP($T17,在院期間＿寛解[#All],2,FALSE),0)</f>
        <v>3</v>
      </c>
      <c r="G17" s="258">
        <f>IFERROR(VLOOKUP($T17,在院期間＿院内寛解[#All],2,FALSE),0)</f>
        <v>11</v>
      </c>
      <c r="H17" s="256">
        <f t="shared" si="1"/>
        <v>14</v>
      </c>
      <c r="I17" s="296">
        <f t="shared" si="2"/>
        <v>8.4490042245021126E-3</v>
      </c>
      <c r="K17" s="42" t="s">
        <v>194</v>
      </c>
      <c r="L17" s="59">
        <v>311</v>
      </c>
      <c r="N17" s="42" t="s">
        <v>194</v>
      </c>
      <c r="O17" s="395">
        <v>3</v>
      </c>
      <c r="P17" s="404" t="s">
        <v>194</v>
      </c>
      <c r="Q17" s="127">
        <v>11</v>
      </c>
      <c r="T17" s="403" t="s">
        <v>194</v>
      </c>
    </row>
    <row r="18" spans="1:20" x14ac:dyDescent="0.15">
      <c r="A18" s="294" t="s">
        <v>141</v>
      </c>
      <c r="B18" s="258">
        <f>IFERROR(VLOOKUP($T18,在院期間[#All],2,FALSE),0)</f>
        <v>257</v>
      </c>
      <c r="C18" s="296">
        <f t="shared" si="0"/>
        <v>1.7142475987193168E-2</v>
      </c>
      <c r="E18" s="294" t="s">
        <v>141</v>
      </c>
      <c r="F18" s="258">
        <f>IFERROR(VLOOKUP($T18,在院期間＿寛解[#All],2,FALSE),0)</f>
        <v>1</v>
      </c>
      <c r="G18" s="258">
        <f>IFERROR(VLOOKUP($T18,在院期間＿院内寛解[#All],2,FALSE),0)</f>
        <v>6</v>
      </c>
      <c r="H18" s="256">
        <f t="shared" si="1"/>
        <v>7</v>
      </c>
      <c r="I18" s="296">
        <f t="shared" si="2"/>
        <v>4.2245021122510563E-3</v>
      </c>
      <c r="K18" s="42" t="s">
        <v>195</v>
      </c>
      <c r="L18" s="59">
        <v>257</v>
      </c>
      <c r="N18" s="42" t="s">
        <v>195</v>
      </c>
      <c r="O18" s="395">
        <v>1</v>
      </c>
      <c r="P18" s="404" t="s">
        <v>195</v>
      </c>
      <c r="Q18" s="127">
        <v>6</v>
      </c>
      <c r="T18" s="402" t="s">
        <v>195</v>
      </c>
    </row>
    <row r="19" spans="1:20" x14ac:dyDescent="0.15">
      <c r="A19" s="294" t="s">
        <v>142</v>
      </c>
      <c r="B19" s="258">
        <f>IFERROR(VLOOKUP($T19,在院期間[#All],2,FALSE),0)</f>
        <v>1395</v>
      </c>
      <c r="C19" s="296">
        <f t="shared" si="0"/>
        <v>9.3049626467449312E-2</v>
      </c>
      <c r="E19" s="294" t="s">
        <v>142</v>
      </c>
      <c r="F19" s="258">
        <f>IFERROR(VLOOKUP($T19,在院期間＿寛解[#All],2,FALSE),0)</f>
        <v>5</v>
      </c>
      <c r="G19" s="258">
        <f>IFERROR(VLOOKUP($T19,在院期間＿院内寛解[#All],2,FALSE),0)</f>
        <v>63</v>
      </c>
      <c r="H19" s="256">
        <f t="shared" si="1"/>
        <v>68</v>
      </c>
      <c r="I19" s="296">
        <f t="shared" si="2"/>
        <v>4.103802051901026E-2</v>
      </c>
      <c r="K19" s="42" t="s">
        <v>196</v>
      </c>
      <c r="L19" s="59">
        <v>1395</v>
      </c>
      <c r="N19" s="42" t="s">
        <v>196</v>
      </c>
      <c r="O19" s="395">
        <v>5</v>
      </c>
      <c r="P19" s="404" t="s">
        <v>196</v>
      </c>
      <c r="Q19" s="127">
        <v>63</v>
      </c>
      <c r="T19" s="403" t="s">
        <v>196</v>
      </c>
    </row>
    <row r="20" spans="1:20" x14ac:dyDescent="0.15">
      <c r="A20" s="294" t="s">
        <v>143</v>
      </c>
      <c r="B20" s="258">
        <f>IFERROR(VLOOKUP($T20,在院期間[#All],2,FALSE),0)</f>
        <v>826</v>
      </c>
      <c r="C20" s="296">
        <f t="shared" si="0"/>
        <v>5.5096051227321238E-2</v>
      </c>
      <c r="E20" s="294" t="s">
        <v>143</v>
      </c>
      <c r="F20" s="258">
        <f>IFERROR(VLOOKUP($T20,在院期間＿寛解[#All],2,FALSE),0)</f>
        <v>6</v>
      </c>
      <c r="G20" s="258">
        <f>IFERROR(VLOOKUP($T20,在院期間＿院内寛解[#All],2,FALSE),0)</f>
        <v>30</v>
      </c>
      <c r="H20" s="256">
        <f t="shared" si="1"/>
        <v>36</v>
      </c>
      <c r="I20" s="296">
        <f t="shared" si="2"/>
        <v>2.1726010863005431E-2</v>
      </c>
      <c r="K20" s="42" t="s">
        <v>197</v>
      </c>
      <c r="L20" s="59">
        <v>826</v>
      </c>
      <c r="N20" s="42" t="s">
        <v>197</v>
      </c>
      <c r="O20" s="395">
        <v>6</v>
      </c>
      <c r="P20" s="404" t="s">
        <v>197</v>
      </c>
      <c r="Q20" s="127">
        <v>30</v>
      </c>
      <c r="T20" s="402" t="s">
        <v>197</v>
      </c>
    </row>
    <row r="21" spans="1:20" x14ac:dyDescent="0.15">
      <c r="A21" s="297" t="s">
        <v>11</v>
      </c>
      <c r="B21" s="259">
        <f>SUM(B5:B20)</f>
        <v>14992</v>
      </c>
      <c r="C21" s="260">
        <f>SUM(C5:C20)</f>
        <v>0.99999999999999989</v>
      </c>
      <c r="E21" s="297" t="s">
        <v>11</v>
      </c>
      <c r="F21" s="259">
        <f>SUM(F5:F20)</f>
        <v>379</v>
      </c>
      <c r="G21" s="259">
        <f>SUM(G5:G20)</f>
        <v>1278</v>
      </c>
      <c r="H21" s="259">
        <f>SUM(H5:H20)</f>
        <v>1657</v>
      </c>
      <c r="I21" s="260">
        <f>SUM(I5:I20)</f>
        <v>0.99999999999999978</v>
      </c>
    </row>
    <row r="22" spans="1:20" x14ac:dyDescent="0.15">
      <c r="A22" s="294" t="s">
        <v>56</v>
      </c>
      <c r="B22" s="256">
        <f>SUM(B5:B8)</f>
        <v>6228</v>
      </c>
      <c r="C22" s="296">
        <f t="shared" ref="C22:C25" si="3">IFERROR(B22/B$21,"-")</f>
        <v>0.41542155816435433</v>
      </c>
      <c r="E22" s="294" t="s">
        <v>56</v>
      </c>
      <c r="F22" s="256">
        <f>SUM(F5:F8)</f>
        <v>316</v>
      </c>
      <c r="G22" s="256">
        <f>SUM(G5:G8)</f>
        <v>820</v>
      </c>
      <c r="H22" s="256">
        <f>SUM(H5:H8)</f>
        <v>1136</v>
      </c>
      <c r="I22" s="296">
        <f t="shared" ref="I22:I25" si="4">IFERROR(H22/H$21,"-")</f>
        <v>0.68557634278817137</v>
      </c>
      <c r="K22" s="377"/>
      <c r="L22" s="21"/>
      <c r="M22" s="21"/>
      <c r="N22" s="377"/>
      <c r="O22" s="21"/>
      <c r="P22" s="21"/>
      <c r="Q22" s="21"/>
    </row>
    <row r="23" spans="1:20" x14ac:dyDescent="0.15">
      <c r="A23" s="294" t="s">
        <v>57</v>
      </c>
      <c r="B23" s="256">
        <f>SUM(B9:B13)</f>
        <v>4634</v>
      </c>
      <c r="C23" s="296">
        <f t="shared" si="3"/>
        <v>0.30909818569903946</v>
      </c>
      <c r="E23" s="294" t="s">
        <v>57</v>
      </c>
      <c r="F23" s="256">
        <f>SUM(F9:F13)</f>
        <v>42</v>
      </c>
      <c r="G23" s="256">
        <f>SUM(G9:G13)</f>
        <v>273</v>
      </c>
      <c r="H23" s="256">
        <f>SUM(H9:H13)</f>
        <v>315</v>
      </c>
      <c r="I23" s="296">
        <f t="shared" si="4"/>
        <v>0.19010259505129753</v>
      </c>
      <c r="K23" s="378"/>
      <c r="L23" s="21"/>
      <c r="M23" s="21"/>
      <c r="N23" s="378"/>
      <c r="O23" s="21"/>
      <c r="P23" s="21"/>
      <c r="Q23" s="21"/>
    </row>
    <row r="24" spans="1:20" x14ac:dyDescent="0.15">
      <c r="A24" s="294" t="s">
        <v>58</v>
      </c>
      <c r="B24" s="256">
        <f>SUM(B14:B18)</f>
        <v>1909</v>
      </c>
      <c r="C24" s="296">
        <f t="shared" si="3"/>
        <v>0.12733457844183566</v>
      </c>
      <c r="E24" s="294" t="s">
        <v>58</v>
      </c>
      <c r="F24" s="256">
        <f>SUM(F14:F18)</f>
        <v>10</v>
      </c>
      <c r="G24" s="256">
        <f>SUM(G14:G18)</f>
        <v>92</v>
      </c>
      <c r="H24" s="256">
        <f>SUM(H14:H18)</f>
        <v>102</v>
      </c>
      <c r="I24" s="296">
        <f t="shared" si="4"/>
        <v>6.155703077851539E-2</v>
      </c>
      <c r="K24" s="378"/>
      <c r="L24" s="21"/>
      <c r="M24" s="21"/>
      <c r="N24" s="378"/>
      <c r="O24" s="21"/>
      <c r="P24" s="21"/>
      <c r="Q24" s="21"/>
    </row>
    <row r="25" spans="1:20" x14ac:dyDescent="0.15">
      <c r="A25" s="294" t="s">
        <v>59</v>
      </c>
      <c r="B25" s="256">
        <f>SUM(B19:B20)</f>
        <v>2221</v>
      </c>
      <c r="C25" s="296">
        <f t="shared" si="3"/>
        <v>0.14814567769477055</v>
      </c>
      <c r="E25" s="294" t="s">
        <v>59</v>
      </c>
      <c r="F25" s="256">
        <f>SUM(F19:F20)</f>
        <v>11</v>
      </c>
      <c r="G25" s="256">
        <f>SUM(G19:G20)</f>
        <v>93</v>
      </c>
      <c r="H25" s="256">
        <f>SUM(H19:H20)</f>
        <v>104</v>
      </c>
      <c r="I25" s="296">
        <f t="shared" si="4"/>
        <v>6.2764031382015695E-2</v>
      </c>
      <c r="K25" s="377"/>
      <c r="L25" s="21"/>
      <c r="M25" s="21"/>
      <c r="N25" s="377"/>
      <c r="O25" s="21"/>
      <c r="P25" s="21"/>
      <c r="Q25" s="21"/>
    </row>
    <row r="28" spans="1:20" x14ac:dyDescent="0.15">
      <c r="E28" s="199"/>
    </row>
    <row r="29" spans="1:20" x14ac:dyDescent="0.15">
      <c r="A29" s="45"/>
      <c r="B29" s="46"/>
      <c r="C29" s="46"/>
      <c r="E29" s="45"/>
      <c r="F29" s="46"/>
      <c r="G29" s="46"/>
      <c r="I29" s="45"/>
      <c r="J29" s="46"/>
      <c r="K29" s="46"/>
    </row>
    <row r="30" spans="1:20" x14ac:dyDescent="0.15">
      <c r="A30" s="7"/>
      <c r="B30" s="8"/>
      <c r="C30" s="200"/>
      <c r="D30" s="21"/>
      <c r="E30" s="7"/>
      <c r="F30" s="8"/>
      <c r="G30" s="200"/>
      <c r="H30" s="21"/>
      <c r="I30" s="7"/>
      <c r="J30" s="8"/>
      <c r="K30" s="200"/>
      <c r="L30" s="21"/>
      <c r="M30" s="21"/>
      <c r="N30" s="21"/>
    </row>
    <row r="31" spans="1:20" x14ac:dyDescent="0.15">
      <c r="A31" s="7"/>
      <c r="B31" s="8"/>
      <c r="C31" s="200"/>
      <c r="D31" s="21"/>
      <c r="E31" s="7"/>
      <c r="F31" s="8"/>
      <c r="G31" s="200"/>
      <c r="H31" s="21"/>
      <c r="I31" s="7"/>
      <c r="J31" s="8"/>
      <c r="K31" s="200"/>
      <c r="L31" s="21"/>
      <c r="M31" s="21"/>
      <c r="N31" s="21"/>
    </row>
    <row r="32" spans="1:20" x14ac:dyDescent="0.15">
      <c r="A32" s="7"/>
      <c r="B32" s="8"/>
      <c r="C32" s="200"/>
      <c r="D32" s="21"/>
      <c r="E32" s="7"/>
      <c r="F32" s="8"/>
      <c r="G32" s="200"/>
      <c r="H32" s="21"/>
      <c r="I32" s="7"/>
      <c r="J32" s="8"/>
      <c r="K32" s="200"/>
      <c r="L32" s="21"/>
      <c r="M32" s="21"/>
      <c r="N32" s="21"/>
    </row>
    <row r="33" spans="1:14" x14ac:dyDescent="0.15">
      <c r="A33" s="7"/>
      <c r="B33" s="8"/>
      <c r="C33" s="200"/>
      <c r="D33" s="21"/>
      <c r="E33" s="7"/>
      <c r="F33" s="8"/>
      <c r="G33" s="200"/>
      <c r="H33" s="21"/>
      <c r="I33" s="7"/>
      <c r="J33" s="8"/>
      <c r="K33" s="200"/>
      <c r="L33" s="21"/>
      <c r="M33" s="21"/>
      <c r="N33" s="21"/>
    </row>
    <row r="34" spans="1:14" x14ac:dyDescent="0.15">
      <c r="A34" s="7"/>
      <c r="B34" s="8"/>
      <c r="C34" s="200"/>
      <c r="D34" s="21"/>
      <c r="E34" s="7"/>
      <c r="F34" s="8"/>
      <c r="G34" s="200"/>
      <c r="H34" s="21"/>
      <c r="I34" s="7"/>
      <c r="J34" s="8"/>
      <c r="K34" s="200"/>
      <c r="L34" s="21"/>
      <c r="M34" s="21"/>
      <c r="N34" s="21"/>
    </row>
    <row r="35" spans="1:14" x14ac:dyDescent="0.15">
      <c r="A35" s="7"/>
      <c r="B35" s="8"/>
      <c r="C35" s="200"/>
      <c r="D35" s="21"/>
      <c r="E35" s="7"/>
      <c r="F35" s="8"/>
      <c r="G35" s="200"/>
      <c r="H35" s="21"/>
      <c r="I35" s="7"/>
      <c r="J35" s="8"/>
      <c r="K35" s="200"/>
      <c r="L35" s="21"/>
      <c r="M35" s="21"/>
      <c r="N35" s="21"/>
    </row>
    <row r="36" spans="1:14" x14ac:dyDescent="0.15">
      <c r="A36" s="7"/>
      <c r="B36" s="8"/>
      <c r="C36" s="200"/>
      <c r="D36" s="21"/>
      <c r="E36" s="7"/>
      <c r="F36" s="8"/>
      <c r="G36" s="200"/>
      <c r="H36" s="21"/>
      <c r="I36" s="7"/>
      <c r="J36" s="8"/>
      <c r="K36" s="200"/>
      <c r="L36" s="21"/>
      <c r="M36" s="21"/>
      <c r="N36" s="21"/>
    </row>
    <row r="37" spans="1:14" x14ac:dyDescent="0.15">
      <c r="A37" s="7"/>
      <c r="B37" s="8"/>
      <c r="C37" s="200"/>
      <c r="D37" s="21"/>
      <c r="E37" s="7"/>
      <c r="F37" s="8"/>
      <c r="G37" s="200"/>
      <c r="H37" s="21"/>
      <c r="I37" s="7"/>
      <c r="J37" s="8"/>
      <c r="K37" s="200"/>
      <c r="L37" s="21"/>
      <c r="M37" s="21"/>
      <c r="N37" s="21"/>
    </row>
    <row r="38" spans="1:14" x14ac:dyDescent="0.15">
      <c r="A38" s="7"/>
      <c r="B38" s="8"/>
      <c r="C38" s="200"/>
      <c r="D38" s="21"/>
      <c r="E38" s="7"/>
      <c r="F38" s="8"/>
      <c r="G38" s="200"/>
      <c r="H38" s="21"/>
      <c r="I38" s="7"/>
      <c r="J38" s="8"/>
      <c r="K38" s="200"/>
      <c r="L38" s="21"/>
      <c r="M38" s="21"/>
      <c r="N38" s="21"/>
    </row>
    <row r="39" spans="1:14" x14ac:dyDescent="0.15">
      <c r="A39" s="7"/>
      <c r="B39" s="8"/>
      <c r="C39" s="200"/>
      <c r="D39" s="21"/>
      <c r="E39" s="7"/>
      <c r="F39" s="8"/>
      <c r="G39" s="200"/>
      <c r="H39" s="21"/>
      <c r="I39" s="7"/>
      <c r="J39" s="8"/>
      <c r="K39" s="200"/>
      <c r="L39" s="21"/>
      <c r="M39" s="21"/>
      <c r="N39" s="21"/>
    </row>
    <row r="40" spans="1:14" x14ac:dyDescent="0.15">
      <c r="A40" s="7"/>
      <c r="B40" s="8"/>
      <c r="C40" s="200"/>
      <c r="D40" s="21"/>
      <c r="E40" s="7"/>
      <c r="F40" s="8"/>
      <c r="G40" s="200"/>
      <c r="H40" s="21"/>
      <c r="I40" s="7"/>
      <c r="J40" s="8"/>
      <c r="K40" s="200"/>
      <c r="L40" s="21"/>
      <c r="M40" s="21"/>
      <c r="N40" s="21"/>
    </row>
    <row r="41" spans="1:14" x14ac:dyDescent="0.15">
      <c r="A41" s="7"/>
      <c r="B41" s="8"/>
      <c r="C41" s="200"/>
      <c r="D41" s="21"/>
      <c r="E41" s="7"/>
      <c r="F41" s="8"/>
      <c r="G41" s="200"/>
      <c r="H41" s="21"/>
      <c r="I41" s="7"/>
      <c r="J41" s="8"/>
      <c r="K41" s="200"/>
      <c r="L41" s="21"/>
      <c r="M41" s="21"/>
      <c r="N41" s="21"/>
    </row>
    <row r="42" spans="1:14" x14ac:dyDescent="0.15">
      <c r="A42" s="7"/>
      <c r="B42" s="8"/>
      <c r="C42" s="200"/>
      <c r="D42" s="21"/>
      <c r="E42" s="7"/>
      <c r="F42" s="8"/>
      <c r="G42" s="200"/>
      <c r="H42" s="21"/>
      <c r="I42" s="7"/>
      <c r="J42" s="8"/>
      <c r="K42" s="200"/>
      <c r="L42" s="21"/>
      <c r="M42" s="21"/>
      <c r="N42" s="21"/>
    </row>
    <row r="43" spans="1:14" x14ac:dyDescent="0.15">
      <c r="A43" s="7"/>
      <c r="B43" s="8"/>
      <c r="C43" s="200"/>
      <c r="D43" s="21"/>
      <c r="E43" s="7"/>
      <c r="F43" s="8"/>
      <c r="G43" s="200"/>
      <c r="H43" s="21"/>
      <c r="I43" s="7"/>
      <c r="J43" s="8"/>
      <c r="K43" s="200"/>
      <c r="L43" s="21"/>
      <c r="M43" s="21"/>
      <c r="N43" s="21"/>
    </row>
    <row r="44" spans="1:14" x14ac:dyDescent="0.15">
      <c r="A44" s="7"/>
      <c r="B44" s="8"/>
      <c r="C44" s="200"/>
      <c r="D44" s="21"/>
      <c r="E44" s="7"/>
      <c r="F44" s="8"/>
      <c r="G44" s="200"/>
      <c r="H44" s="21"/>
      <c r="I44" s="7"/>
      <c r="J44" s="8"/>
      <c r="K44" s="200"/>
      <c r="L44" s="21"/>
      <c r="M44" s="21"/>
      <c r="N44" s="21"/>
    </row>
    <row r="45" spans="1:14" x14ac:dyDescent="0.15">
      <c r="A45" s="37"/>
      <c r="B45" s="38"/>
      <c r="C45" s="146"/>
      <c r="E45" s="49"/>
      <c r="F45" s="50"/>
      <c r="G45" s="201"/>
      <c r="I45" s="37"/>
      <c r="J45" s="38"/>
      <c r="K45" s="146"/>
    </row>
    <row r="46" spans="1:14" x14ac:dyDescent="0.15">
      <c r="A46" s="49"/>
      <c r="B46" s="50"/>
      <c r="C46" s="201"/>
      <c r="D46" s="21"/>
      <c r="E46" s="21"/>
      <c r="F46" s="21"/>
      <c r="G46" s="21"/>
      <c r="H46" s="21"/>
      <c r="I46" s="49"/>
      <c r="J46" s="50"/>
      <c r="K46" s="201"/>
      <c r="L46" s="21"/>
      <c r="M46" s="21"/>
    </row>
    <row r="47" spans="1:14" x14ac:dyDescent="0.15">
      <c r="A47" s="21"/>
      <c r="B47" s="21"/>
      <c r="C47" s="21"/>
      <c r="D47" s="21"/>
      <c r="E47" s="21"/>
      <c r="F47" s="21"/>
      <c r="G47" s="21"/>
      <c r="H47" s="21"/>
      <c r="I47" s="21"/>
      <c r="J47" s="21"/>
      <c r="K47" s="21"/>
      <c r="L47" s="21"/>
      <c r="M47" s="21"/>
    </row>
  </sheetData>
  <phoneticPr fontId="2"/>
  <pageMargins left="0.70866141732283472" right="0.70866141732283472" top="0.74803149606299213" bottom="0.74803149606299213" header="0.31496062992125984" footer="0.31496062992125984"/>
  <pageSetup paperSize="11" scale="72" orientation="landscape" r:id="rId1"/>
  <colBreaks count="1" manualBreakCount="1">
    <brk id="4" max="24" man="1"/>
  </col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Button 1">
              <controlPr defaultSize="0" print="0" autoFill="0" autoPict="0" macro="[0]!データ削除4">
                <anchor moveWithCells="1" sizeWithCells="1">
                  <from>
                    <xdr:col>17</xdr:col>
                    <xdr:colOff>561975</xdr:colOff>
                    <xdr:row>2</xdr:row>
                    <xdr:rowOff>219075</xdr:rowOff>
                  </from>
                  <to>
                    <xdr:col>20</xdr:col>
                    <xdr:colOff>333375</xdr:colOff>
                    <xdr:row>4</xdr:row>
                    <xdr:rowOff>180975</xdr:rowOff>
                  </to>
                </anchor>
              </controlPr>
            </control>
          </mc:Choice>
        </mc:AlternateContent>
      </controls>
    </mc:Choice>
  </mc:AlternateContent>
  <tableParts count="3">
    <tablePart r:id="rId5"/>
    <tablePart r:id="rId6"/>
    <tablePart r:id="rId7"/>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6" tint="-0.249977111117893"/>
    <pageSetUpPr fitToPage="1"/>
  </sheetPr>
  <dimension ref="A1:E13"/>
  <sheetViews>
    <sheetView showGridLines="0" view="pageBreakPreview" zoomScaleNormal="100" zoomScaleSheetLayoutView="100" workbookViewId="0">
      <selection activeCell="B10" sqref="B10"/>
    </sheetView>
  </sheetViews>
  <sheetFormatPr defaultRowHeight="18.75" x14ac:dyDescent="0.15"/>
  <cols>
    <col min="1" max="1" width="13.625" style="1" customWidth="1"/>
    <col min="2" max="4" width="10.75" style="1" customWidth="1"/>
    <col min="5" max="5" width="11" style="1" customWidth="1"/>
    <col min="6" max="6" width="7.375" style="1" customWidth="1"/>
    <col min="7" max="7" width="5" style="1" customWidth="1"/>
    <col min="8" max="8" width="6.625" style="1" customWidth="1"/>
    <col min="9" max="9" width="7.375" style="1" customWidth="1"/>
    <col min="10" max="16384" width="9" style="1"/>
  </cols>
  <sheetData>
    <row r="1" spans="1:5" s="3" customFormat="1" ht="19.5" x14ac:dyDescent="0.15">
      <c r="A1" s="2" t="s">
        <v>144</v>
      </c>
    </row>
    <row r="2" spans="1:5" x14ac:dyDescent="0.15">
      <c r="A2" s="4"/>
    </row>
    <row r="3" spans="1:5" s="3" customFormat="1" ht="19.5" x14ac:dyDescent="0.15">
      <c r="A3" s="4" t="s">
        <v>13</v>
      </c>
    </row>
    <row r="4" spans="1:5" x14ac:dyDescent="0.15">
      <c r="A4" s="255"/>
      <c r="B4" s="255" t="s">
        <v>0</v>
      </c>
      <c r="C4" s="255" t="s">
        <v>1</v>
      </c>
    </row>
    <row r="5" spans="1:5" x14ac:dyDescent="0.15">
      <c r="A5" s="294" t="s">
        <v>28</v>
      </c>
      <c r="B5" s="258">
        <v>379</v>
      </c>
      <c r="C5" s="296">
        <f>IFERROR(B5/B$11,"-")</f>
        <v>2.5280149413020276E-2</v>
      </c>
      <c r="E5" s="9"/>
    </row>
    <row r="6" spans="1:5" x14ac:dyDescent="0.15">
      <c r="A6" s="294" t="s">
        <v>29</v>
      </c>
      <c r="B6" s="258">
        <v>1278</v>
      </c>
      <c r="C6" s="296">
        <f t="shared" ref="C6:C10" si="0">IFERROR(B6/B$11,"-")</f>
        <v>8.5245464247598726E-2</v>
      </c>
    </row>
    <row r="7" spans="1:5" x14ac:dyDescent="0.15">
      <c r="A7" s="294" t="s">
        <v>30</v>
      </c>
      <c r="B7" s="258">
        <v>2959</v>
      </c>
      <c r="C7" s="296">
        <f t="shared" si="0"/>
        <v>0.19737193169690501</v>
      </c>
    </row>
    <row r="8" spans="1:5" x14ac:dyDescent="0.15">
      <c r="A8" s="294" t="s">
        <v>31</v>
      </c>
      <c r="B8" s="258">
        <v>5648</v>
      </c>
      <c r="C8" s="296">
        <f t="shared" si="0"/>
        <v>0.37673425827107793</v>
      </c>
    </row>
    <row r="9" spans="1:5" x14ac:dyDescent="0.15">
      <c r="A9" s="294" t="s">
        <v>32</v>
      </c>
      <c r="B9" s="258">
        <v>3949</v>
      </c>
      <c r="C9" s="296">
        <f t="shared" si="0"/>
        <v>0.26340715048025615</v>
      </c>
    </row>
    <row r="10" spans="1:5" x14ac:dyDescent="0.15">
      <c r="A10" s="294" t="s">
        <v>33</v>
      </c>
      <c r="B10" s="258">
        <v>779</v>
      </c>
      <c r="C10" s="296">
        <f t="shared" si="0"/>
        <v>5.1961045891141942E-2</v>
      </c>
    </row>
    <row r="11" spans="1:5" x14ac:dyDescent="0.15">
      <c r="A11" s="297" t="s">
        <v>11</v>
      </c>
      <c r="B11" s="259">
        <f>SUM(B5:B10)</f>
        <v>14992</v>
      </c>
      <c r="C11" s="260">
        <f>SUM(C5:C10)</f>
        <v>1</v>
      </c>
    </row>
    <row r="13" spans="1:5" x14ac:dyDescent="0.15">
      <c r="B13" s="491" t="s">
        <v>371</v>
      </c>
    </row>
  </sheetData>
  <phoneticPr fontId="2"/>
  <pageMargins left="0.70866141732283472" right="0.70866141732283472" top="0.74803149606299213" bottom="0.74803149606299213" header="0.31496062992125984" footer="0.31496062992125984"/>
  <pageSetup paperSize="1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Button 1">
              <controlPr defaultSize="0" print="0" autoFill="0" autoPict="0" macro="[0]!データ削除_状態像区分">
                <anchor moveWithCells="1" sizeWithCells="1">
                  <from>
                    <xdr:col>4</xdr:col>
                    <xdr:colOff>57150</xdr:colOff>
                    <xdr:row>1</xdr:row>
                    <xdr:rowOff>190500</xdr:rowOff>
                  </from>
                  <to>
                    <xdr:col>5</xdr:col>
                    <xdr:colOff>466725</xdr:colOff>
                    <xdr:row>3</xdr:row>
                    <xdr:rowOff>142875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6" tint="-0.249977111117893"/>
    <pageSetUpPr fitToPage="1"/>
  </sheetPr>
  <dimension ref="A1:M97"/>
  <sheetViews>
    <sheetView showGridLines="0" view="pageBreakPreview" zoomScale="80" zoomScaleNormal="90" zoomScaleSheetLayoutView="80" workbookViewId="0">
      <selection activeCell="F36" sqref="F36"/>
    </sheetView>
  </sheetViews>
  <sheetFormatPr defaultRowHeight="18.75" x14ac:dyDescent="0.15"/>
  <cols>
    <col min="1" max="1" width="62.5" style="1" customWidth="1"/>
    <col min="2" max="3" width="9.375" style="1" customWidth="1"/>
    <col min="4" max="4" width="4.125" style="1" customWidth="1"/>
    <col min="5" max="5" width="43.75" style="1" customWidth="1"/>
    <col min="6" max="9" width="9.375" style="1" customWidth="1"/>
    <col min="10" max="11" width="6.25" style="1" customWidth="1"/>
    <col min="12" max="12" width="47.25" style="1" customWidth="1"/>
    <col min="13" max="13" width="9.5" style="1" customWidth="1"/>
    <col min="14" max="14" width="49.625" style="1" customWidth="1"/>
    <col min="15" max="15" width="32.75" style="1" customWidth="1"/>
    <col min="16" max="16" width="57.125" style="1" customWidth="1"/>
    <col min="17" max="17" width="55.25" style="1" customWidth="1"/>
    <col min="18" max="18" width="25.25" style="1" customWidth="1"/>
    <col min="19" max="19" width="47.875" style="1" bestFit="1" customWidth="1"/>
    <col min="20" max="20" width="34" style="1" customWidth="1"/>
    <col min="21" max="21" width="25.25" style="1" customWidth="1"/>
    <col min="22" max="22" width="55.25" style="1" customWidth="1"/>
    <col min="23" max="23" width="41.5" style="1" customWidth="1"/>
    <col min="24" max="24" width="32.75" style="1" customWidth="1"/>
    <col min="25" max="26" width="47.875" style="1" bestFit="1" customWidth="1"/>
    <col min="27" max="27" width="29" style="1" bestFit="1" customWidth="1"/>
    <col min="28" max="28" width="55.25" style="1" bestFit="1" customWidth="1"/>
    <col min="29" max="29" width="41.5" style="1" bestFit="1" customWidth="1"/>
    <col min="30" max="30" width="32.75" style="1" bestFit="1" customWidth="1"/>
    <col min="31" max="16384" width="9" style="1"/>
  </cols>
  <sheetData>
    <row r="1" spans="1:11" s="3" customFormat="1" ht="19.5" x14ac:dyDescent="0.15">
      <c r="A1" s="191" t="s">
        <v>230</v>
      </c>
    </row>
    <row r="2" spans="1:11" x14ac:dyDescent="0.15">
      <c r="A2" s="4"/>
    </row>
    <row r="3" spans="1:11" x14ac:dyDescent="0.15">
      <c r="A3" s="4" t="s">
        <v>13</v>
      </c>
      <c r="E3" s="4" t="s">
        <v>113</v>
      </c>
    </row>
    <row r="4" spans="1:11" x14ac:dyDescent="0.15">
      <c r="A4" s="302"/>
      <c r="B4" s="255" t="s">
        <v>0</v>
      </c>
      <c r="C4" s="255" t="s">
        <v>1</v>
      </c>
      <c r="E4" s="302"/>
      <c r="F4" s="255" t="s">
        <v>114</v>
      </c>
      <c r="G4" s="301" t="s">
        <v>116</v>
      </c>
      <c r="H4" s="255" t="s">
        <v>12</v>
      </c>
      <c r="I4" s="255" t="s">
        <v>1</v>
      </c>
    </row>
    <row r="5" spans="1:11" ht="37.5" x14ac:dyDescent="0.15">
      <c r="A5" s="303" t="s">
        <v>231</v>
      </c>
      <c r="B5" s="304">
        <v>2075</v>
      </c>
      <c r="C5" s="296">
        <f>IFERROR(B5/B$8,"-")</f>
        <v>0.13840715048025615</v>
      </c>
      <c r="E5" s="303" t="s">
        <v>231</v>
      </c>
      <c r="F5" s="256">
        <v>94</v>
      </c>
      <c r="G5" s="256">
        <v>529</v>
      </c>
      <c r="H5" s="256">
        <f>SUM(F5:G5)</f>
        <v>623</v>
      </c>
      <c r="I5" s="296">
        <f>IFERROR(H5/H$8,"-")</f>
        <v>0.37598068799034401</v>
      </c>
    </row>
    <row r="6" spans="1:11" x14ac:dyDescent="0.15">
      <c r="A6" s="298" t="s">
        <v>232</v>
      </c>
      <c r="B6" s="258">
        <v>11296</v>
      </c>
      <c r="C6" s="296">
        <f t="shared" ref="C6:C7" si="0">IFERROR(B6/B$8,"-")</f>
        <v>0.75346851654215585</v>
      </c>
      <c r="E6" s="298" t="s">
        <v>232</v>
      </c>
      <c r="F6" s="258">
        <v>3</v>
      </c>
      <c r="G6" s="258">
        <v>294</v>
      </c>
      <c r="H6" s="256">
        <f t="shared" ref="H6:H7" si="1">SUM(F6:G6)</f>
        <v>297</v>
      </c>
      <c r="I6" s="296">
        <f t="shared" ref="I6:I7" si="2">IFERROR(H6/H$8,"-")</f>
        <v>0.1792395896197948</v>
      </c>
    </row>
    <row r="7" spans="1:11" x14ac:dyDescent="0.15">
      <c r="A7" s="298" t="s">
        <v>233</v>
      </c>
      <c r="B7" s="258">
        <v>1621</v>
      </c>
      <c r="C7" s="296">
        <f t="shared" si="0"/>
        <v>0.10812433297758804</v>
      </c>
      <c r="E7" s="298" t="s">
        <v>233</v>
      </c>
      <c r="F7" s="258">
        <v>282</v>
      </c>
      <c r="G7" s="258">
        <v>455</v>
      </c>
      <c r="H7" s="256">
        <f t="shared" si="1"/>
        <v>737</v>
      </c>
      <c r="I7" s="296">
        <f t="shared" si="2"/>
        <v>0.44477972238986119</v>
      </c>
    </row>
    <row r="8" spans="1:11" x14ac:dyDescent="0.15">
      <c r="A8" s="297" t="s">
        <v>11</v>
      </c>
      <c r="B8" s="259">
        <f>SUM(B5:B7)</f>
        <v>14992</v>
      </c>
      <c r="C8" s="260">
        <f>SUM(C5:C7)</f>
        <v>1</v>
      </c>
      <c r="E8" s="297" t="s">
        <v>11</v>
      </c>
      <c r="F8" s="259">
        <f>SUM(F5:F7)</f>
        <v>379</v>
      </c>
      <c r="G8" s="259">
        <f>SUM(G5:G7)</f>
        <v>1278</v>
      </c>
      <c r="H8" s="259">
        <f>SUM(H5:H7)</f>
        <v>1657</v>
      </c>
      <c r="I8" s="260">
        <f>SUM(I5:I7)</f>
        <v>1</v>
      </c>
      <c r="K8" s="491" t="s">
        <v>365</v>
      </c>
    </row>
    <row r="9" spans="1:11" x14ac:dyDescent="0.15">
      <c r="A9" s="4"/>
    </row>
    <row r="10" spans="1:11" s="3" customFormat="1" ht="19.5" x14ac:dyDescent="0.15">
      <c r="A10" s="191" t="s">
        <v>54</v>
      </c>
    </row>
    <row r="11" spans="1:11" x14ac:dyDescent="0.15">
      <c r="A11" s="4"/>
    </row>
    <row r="12" spans="1:11" x14ac:dyDescent="0.15">
      <c r="A12" s="4" t="s">
        <v>13</v>
      </c>
      <c r="E12" s="4" t="s">
        <v>113</v>
      </c>
    </row>
    <row r="13" spans="1:11" x14ac:dyDescent="0.15">
      <c r="A13" s="302"/>
      <c r="B13" s="255" t="s">
        <v>0</v>
      </c>
      <c r="C13" s="255" t="s">
        <v>1</v>
      </c>
      <c r="E13" s="302"/>
      <c r="F13" s="255" t="s">
        <v>114</v>
      </c>
      <c r="G13" s="301" t="s">
        <v>116</v>
      </c>
      <c r="H13" s="255" t="s">
        <v>12</v>
      </c>
      <c r="I13" s="255" t="s">
        <v>1</v>
      </c>
    </row>
    <row r="14" spans="1:11" x14ac:dyDescent="0.15">
      <c r="A14" s="298" t="s">
        <v>34</v>
      </c>
      <c r="B14" s="304">
        <v>1829</v>
      </c>
      <c r="C14" s="296">
        <f>IFERROR(B14/B$16,"-")</f>
        <v>0.88144578313253008</v>
      </c>
      <c r="E14" s="298" t="s">
        <v>34</v>
      </c>
      <c r="F14" s="258">
        <v>70</v>
      </c>
      <c r="G14" s="258">
        <v>418</v>
      </c>
      <c r="H14" s="256">
        <f>SUM(F14:G14)</f>
        <v>488</v>
      </c>
      <c r="I14" s="296">
        <f>IFERROR(H14/H$16,"-")</f>
        <v>0.78330658105938999</v>
      </c>
    </row>
    <row r="15" spans="1:11" x14ac:dyDescent="0.15">
      <c r="A15" s="298" t="s">
        <v>35</v>
      </c>
      <c r="B15" s="258">
        <v>246</v>
      </c>
      <c r="C15" s="296">
        <f>IFERROR(B15/B$16,"-")</f>
        <v>0.11855421686746988</v>
      </c>
      <c r="E15" s="298" t="s">
        <v>35</v>
      </c>
      <c r="F15" s="258">
        <v>24</v>
      </c>
      <c r="G15" s="258">
        <v>111</v>
      </c>
      <c r="H15" s="256">
        <f t="shared" ref="H15" si="3">SUM(F15:G15)</f>
        <v>135</v>
      </c>
      <c r="I15" s="296">
        <f>IFERROR(H15/H$16,"-")</f>
        <v>0.21669341894060995</v>
      </c>
    </row>
    <row r="16" spans="1:11" x14ac:dyDescent="0.15">
      <c r="A16" s="297" t="s">
        <v>11</v>
      </c>
      <c r="B16" s="259">
        <f>SUM(B14:B15)</f>
        <v>2075</v>
      </c>
      <c r="C16" s="260">
        <f>SUM(C14:C15)</f>
        <v>1</v>
      </c>
      <c r="E16" s="297" t="s">
        <v>11</v>
      </c>
      <c r="F16" s="259">
        <f>SUM(F14:F15)</f>
        <v>94</v>
      </c>
      <c r="G16" s="259">
        <f>SUM(G14:G15)</f>
        <v>529</v>
      </c>
      <c r="H16" s="259">
        <f>SUM(H14:H15)</f>
        <v>623</v>
      </c>
      <c r="I16" s="260">
        <f>SUM(I14:I15)</f>
        <v>1</v>
      </c>
    </row>
    <row r="17" spans="1:13" x14ac:dyDescent="0.15">
      <c r="A17" s="4"/>
    </row>
    <row r="18" spans="1:13" s="3" customFormat="1" ht="19.5" x14ac:dyDescent="0.15">
      <c r="A18" s="2" t="s">
        <v>55</v>
      </c>
    </row>
    <row r="19" spans="1:13" x14ac:dyDescent="0.15">
      <c r="A19" s="4"/>
    </row>
    <row r="20" spans="1:13" x14ac:dyDescent="0.15">
      <c r="A20" s="4" t="s">
        <v>13</v>
      </c>
      <c r="B20" s="365"/>
      <c r="C20" s="365"/>
      <c r="E20" s="4" t="s">
        <v>113</v>
      </c>
    </row>
    <row r="21" spans="1:13" x14ac:dyDescent="0.15">
      <c r="A21" s="890">
        <f>B14</f>
        <v>1829</v>
      </c>
      <c r="B21" s="890"/>
      <c r="C21" s="890"/>
      <c r="E21" s="891">
        <f>H14</f>
        <v>488</v>
      </c>
      <c r="F21" s="891"/>
      <c r="G21" s="891"/>
      <c r="H21" s="891"/>
      <c r="I21" s="891"/>
    </row>
    <row r="22" spans="1:13" x14ac:dyDescent="0.15">
      <c r="A22" s="302"/>
      <c r="B22" s="255" t="s">
        <v>37</v>
      </c>
      <c r="C22" s="255" t="s">
        <v>1</v>
      </c>
      <c r="E22" s="302"/>
      <c r="F22" s="255" t="s">
        <v>114</v>
      </c>
      <c r="G22" s="301" t="s">
        <v>116</v>
      </c>
      <c r="H22" s="255" t="s">
        <v>12</v>
      </c>
      <c r="I22" s="255" t="s">
        <v>1</v>
      </c>
    </row>
    <row r="23" spans="1:13" ht="56.25" customHeight="1" x14ac:dyDescent="0.15">
      <c r="A23" s="305" t="s">
        <v>234</v>
      </c>
      <c r="B23" s="306">
        <v>670</v>
      </c>
      <c r="C23" s="307">
        <f>IFERROR(B23/B$14,"-")</f>
        <v>0.36632039365773644</v>
      </c>
      <c r="D23" s="136"/>
      <c r="E23" s="305" t="s">
        <v>235</v>
      </c>
      <c r="F23" s="300">
        <v>14</v>
      </c>
      <c r="G23" s="300">
        <v>117</v>
      </c>
      <c r="H23" s="256">
        <f>SUM(F23:G23)</f>
        <v>131</v>
      </c>
      <c r="I23" s="296">
        <f>IFERROR(H23/H$14,"-")</f>
        <v>0.26844262295081966</v>
      </c>
      <c r="L23" s="139"/>
      <c r="M23" s="139"/>
    </row>
    <row r="24" spans="1:13" x14ac:dyDescent="0.15">
      <c r="A24" s="308" t="s">
        <v>145</v>
      </c>
      <c r="B24" s="306">
        <v>570</v>
      </c>
      <c r="C24" s="307">
        <f t="shared" ref="C24:C42" si="4">IFERROR(B24/B$14,"-")</f>
        <v>0.31164570803717878</v>
      </c>
      <c r="D24" s="136"/>
      <c r="E24" s="532" t="s">
        <v>66</v>
      </c>
      <c r="F24" s="300">
        <v>9</v>
      </c>
      <c r="G24" s="300">
        <v>94</v>
      </c>
      <c r="H24" s="256">
        <f t="shared" ref="H24:H42" si="5">SUM(F24:G24)</f>
        <v>103</v>
      </c>
      <c r="I24" s="296">
        <f t="shared" ref="I24:I42" si="6">IFERROR(H24/H$14,"-")</f>
        <v>0.21106557377049182</v>
      </c>
      <c r="L24" s="37"/>
      <c r="M24" s="22"/>
    </row>
    <row r="25" spans="1:13" x14ac:dyDescent="0.15">
      <c r="A25" s="308" t="s">
        <v>38</v>
      </c>
      <c r="B25" s="306">
        <v>91</v>
      </c>
      <c r="C25" s="307">
        <f t="shared" si="4"/>
        <v>4.9753963914707489E-2</v>
      </c>
      <c r="D25" s="136"/>
      <c r="E25" s="532" t="s">
        <v>38</v>
      </c>
      <c r="F25" s="300">
        <v>1</v>
      </c>
      <c r="G25" s="300">
        <v>20</v>
      </c>
      <c r="H25" s="256">
        <f t="shared" si="5"/>
        <v>21</v>
      </c>
      <c r="I25" s="296">
        <f t="shared" si="6"/>
        <v>4.3032786885245901E-2</v>
      </c>
      <c r="L25" s="37"/>
      <c r="M25" s="22"/>
    </row>
    <row r="26" spans="1:13" x14ac:dyDescent="0.15">
      <c r="A26" s="308" t="s">
        <v>39</v>
      </c>
      <c r="B26" s="306">
        <v>677</v>
      </c>
      <c r="C26" s="307">
        <f t="shared" si="4"/>
        <v>0.37014762165117548</v>
      </c>
      <c r="D26" s="136"/>
      <c r="E26" s="532" t="s">
        <v>39</v>
      </c>
      <c r="F26" s="300">
        <v>16</v>
      </c>
      <c r="G26" s="300">
        <v>164</v>
      </c>
      <c r="H26" s="256">
        <f t="shared" si="5"/>
        <v>180</v>
      </c>
      <c r="I26" s="296">
        <f t="shared" si="6"/>
        <v>0.36885245901639346</v>
      </c>
      <c r="L26" s="37"/>
      <c r="M26" s="22"/>
    </row>
    <row r="27" spans="1:13" x14ac:dyDescent="0.15">
      <c r="A27" s="308" t="s">
        <v>40</v>
      </c>
      <c r="B27" s="306">
        <v>806</v>
      </c>
      <c r="C27" s="307">
        <f t="shared" si="4"/>
        <v>0.44067796610169491</v>
      </c>
      <c r="D27" s="136"/>
      <c r="E27" s="532" t="s">
        <v>40</v>
      </c>
      <c r="F27" s="300">
        <v>19</v>
      </c>
      <c r="G27" s="300">
        <v>131</v>
      </c>
      <c r="H27" s="256">
        <f t="shared" si="5"/>
        <v>150</v>
      </c>
      <c r="I27" s="296">
        <f t="shared" si="6"/>
        <v>0.30737704918032788</v>
      </c>
      <c r="L27" s="37"/>
      <c r="M27" s="22"/>
    </row>
    <row r="28" spans="1:13" x14ac:dyDescent="0.15">
      <c r="A28" s="308" t="s">
        <v>41</v>
      </c>
      <c r="B28" s="306">
        <v>509</v>
      </c>
      <c r="C28" s="307">
        <f t="shared" si="4"/>
        <v>0.27829414980863859</v>
      </c>
      <c r="D28" s="136"/>
      <c r="E28" s="532" t="s">
        <v>41</v>
      </c>
      <c r="F28" s="300">
        <v>5</v>
      </c>
      <c r="G28" s="300">
        <v>124</v>
      </c>
      <c r="H28" s="256">
        <f t="shared" si="5"/>
        <v>129</v>
      </c>
      <c r="I28" s="296">
        <f t="shared" si="6"/>
        <v>0.26434426229508196</v>
      </c>
      <c r="L28" s="37"/>
      <c r="M28" s="22"/>
    </row>
    <row r="29" spans="1:13" x14ac:dyDescent="0.15">
      <c r="A29" s="308" t="s">
        <v>42</v>
      </c>
      <c r="B29" s="306">
        <v>164</v>
      </c>
      <c r="C29" s="307">
        <f t="shared" si="4"/>
        <v>8.9666484417714604E-2</v>
      </c>
      <c r="D29" s="136"/>
      <c r="E29" s="532" t="s">
        <v>42</v>
      </c>
      <c r="F29" s="300">
        <v>3</v>
      </c>
      <c r="G29" s="300">
        <v>35</v>
      </c>
      <c r="H29" s="256">
        <f t="shared" si="5"/>
        <v>38</v>
      </c>
      <c r="I29" s="296">
        <f t="shared" si="6"/>
        <v>7.7868852459016397E-2</v>
      </c>
      <c r="L29" s="37"/>
      <c r="M29" s="22"/>
    </row>
    <row r="30" spans="1:13" x14ac:dyDescent="0.15">
      <c r="A30" s="308" t="s">
        <v>43</v>
      </c>
      <c r="B30" s="306">
        <v>644</v>
      </c>
      <c r="C30" s="307">
        <f t="shared" si="4"/>
        <v>0.35210497539639146</v>
      </c>
      <c r="D30" s="136"/>
      <c r="E30" s="532" t="s">
        <v>43</v>
      </c>
      <c r="F30" s="300">
        <v>7</v>
      </c>
      <c r="G30" s="300">
        <v>121</v>
      </c>
      <c r="H30" s="256">
        <f t="shared" si="5"/>
        <v>128</v>
      </c>
      <c r="I30" s="296">
        <f t="shared" si="6"/>
        <v>0.26229508196721313</v>
      </c>
      <c r="L30" s="37"/>
      <c r="M30" s="22"/>
    </row>
    <row r="31" spans="1:13" x14ac:dyDescent="0.15">
      <c r="A31" s="308" t="s">
        <v>44</v>
      </c>
      <c r="B31" s="306">
        <v>295</v>
      </c>
      <c r="C31" s="307">
        <f t="shared" si="4"/>
        <v>0.16129032258064516</v>
      </c>
      <c r="D31" s="136"/>
      <c r="E31" s="532" t="s">
        <v>44</v>
      </c>
      <c r="F31" s="300">
        <v>8</v>
      </c>
      <c r="G31" s="300">
        <v>63</v>
      </c>
      <c r="H31" s="256">
        <f t="shared" si="5"/>
        <v>71</v>
      </c>
      <c r="I31" s="296">
        <f t="shared" si="6"/>
        <v>0.14549180327868852</v>
      </c>
      <c r="L31" s="37"/>
      <c r="M31" s="22"/>
    </row>
    <row r="32" spans="1:13" x14ac:dyDescent="0.15">
      <c r="A32" s="308" t="s">
        <v>245</v>
      </c>
      <c r="B32" s="306">
        <v>342</v>
      </c>
      <c r="C32" s="307">
        <f t="shared" si="4"/>
        <v>0.18698742482230726</v>
      </c>
      <c r="D32" s="136"/>
      <c r="E32" s="532" t="s">
        <v>246</v>
      </c>
      <c r="F32" s="300">
        <v>25</v>
      </c>
      <c r="G32" s="300">
        <v>93</v>
      </c>
      <c r="H32" s="256">
        <f t="shared" si="5"/>
        <v>118</v>
      </c>
      <c r="I32" s="296">
        <f t="shared" si="6"/>
        <v>0.24180327868852458</v>
      </c>
      <c r="L32" s="37"/>
      <c r="M32" s="22"/>
    </row>
    <row r="33" spans="1:13" x14ac:dyDescent="0.15">
      <c r="A33" s="308" t="s">
        <v>46</v>
      </c>
      <c r="B33" s="306">
        <v>605</v>
      </c>
      <c r="C33" s="307">
        <f t="shared" si="4"/>
        <v>0.33078184800437399</v>
      </c>
      <c r="D33" s="136"/>
      <c r="E33" s="532" t="s">
        <v>46</v>
      </c>
      <c r="F33" s="300">
        <v>23</v>
      </c>
      <c r="G33" s="300">
        <v>123</v>
      </c>
      <c r="H33" s="256">
        <f t="shared" si="5"/>
        <v>146</v>
      </c>
      <c r="I33" s="296">
        <f t="shared" si="6"/>
        <v>0.29918032786885246</v>
      </c>
      <c r="L33" s="37"/>
      <c r="M33" s="22"/>
    </row>
    <row r="34" spans="1:13" x14ac:dyDescent="0.15">
      <c r="A34" s="308" t="s">
        <v>47</v>
      </c>
      <c r="B34" s="306">
        <v>121</v>
      </c>
      <c r="C34" s="307">
        <f t="shared" si="4"/>
        <v>6.6156369600874801E-2</v>
      </c>
      <c r="D34" s="136"/>
      <c r="E34" s="532" t="s">
        <v>47</v>
      </c>
      <c r="F34" s="300">
        <v>3</v>
      </c>
      <c r="G34" s="300">
        <v>22</v>
      </c>
      <c r="H34" s="256">
        <f t="shared" si="5"/>
        <v>25</v>
      </c>
      <c r="I34" s="296">
        <f t="shared" si="6"/>
        <v>5.1229508196721313E-2</v>
      </c>
      <c r="L34" s="37"/>
      <c r="M34" s="22"/>
    </row>
    <row r="35" spans="1:13" x14ac:dyDescent="0.15">
      <c r="A35" s="308" t="s">
        <v>48</v>
      </c>
      <c r="B35" s="306">
        <v>70</v>
      </c>
      <c r="C35" s="307">
        <f t="shared" si="4"/>
        <v>3.8272279934390377E-2</v>
      </c>
      <c r="D35" s="136"/>
      <c r="E35" s="532" t="s">
        <v>48</v>
      </c>
      <c r="F35" s="300">
        <v>5</v>
      </c>
      <c r="G35" s="300">
        <v>18</v>
      </c>
      <c r="H35" s="256">
        <f t="shared" si="5"/>
        <v>23</v>
      </c>
      <c r="I35" s="296">
        <f t="shared" si="6"/>
        <v>4.7131147540983603E-2</v>
      </c>
      <c r="L35" s="37"/>
      <c r="M35" s="22"/>
    </row>
    <row r="36" spans="1:13" x14ac:dyDescent="0.15">
      <c r="A36" s="308" t="s">
        <v>49</v>
      </c>
      <c r="B36" s="306">
        <v>6</v>
      </c>
      <c r="C36" s="307">
        <f t="shared" si="4"/>
        <v>3.2804811372334607E-3</v>
      </c>
      <c r="D36" s="136"/>
      <c r="E36" s="532" t="s">
        <v>49</v>
      </c>
      <c r="F36" s="300">
        <v>0</v>
      </c>
      <c r="G36" s="300">
        <v>1</v>
      </c>
      <c r="H36" s="256">
        <f t="shared" si="5"/>
        <v>1</v>
      </c>
      <c r="I36" s="296">
        <f t="shared" si="6"/>
        <v>2.0491803278688526E-3</v>
      </c>
      <c r="L36" s="37"/>
      <c r="M36" s="22"/>
    </row>
    <row r="37" spans="1:13" x14ac:dyDescent="0.15">
      <c r="A37" s="308" t="s">
        <v>50</v>
      </c>
      <c r="B37" s="306">
        <v>149</v>
      </c>
      <c r="C37" s="307">
        <f t="shared" si="4"/>
        <v>8.1465281574630941E-2</v>
      </c>
      <c r="D37" s="136"/>
      <c r="E37" s="532" t="s">
        <v>50</v>
      </c>
      <c r="F37" s="300">
        <v>7</v>
      </c>
      <c r="G37" s="300">
        <v>34</v>
      </c>
      <c r="H37" s="256">
        <f t="shared" si="5"/>
        <v>41</v>
      </c>
      <c r="I37" s="296">
        <f t="shared" si="6"/>
        <v>8.4016393442622947E-2</v>
      </c>
      <c r="L37" s="37"/>
      <c r="M37" s="22"/>
    </row>
    <row r="38" spans="1:13" x14ac:dyDescent="0.15">
      <c r="A38" s="308" t="s">
        <v>51</v>
      </c>
      <c r="B38" s="306">
        <v>131</v>
      </c>
      <c r="C38" s="307">
        <f t="shared" si="4"/>
        <v>7.1623838162930567E-2</v>
      </c>
      <c r="D38" s="136"/>
      <c r="E38" s="532" t="s">
        <v>51</v>
      </c>
      <c r="F38" s="300">
        <v>5</v>
      </c>
      <c r="G38" s="300">
        <v>38</v>
      </c>
      <c r="H38" s="256">
        <f t="shared" si="5"/>
        <v>43</v>
      </c>
      <c r="I38" s="296">
        <f t="shared" si="6"/>
        <v>8.8114754098360656E-2</v>
      </c>
      <c r="L38" s="37"/>
      <c r="M38" s="22"/>
    </row>
    <row r="39" spans="1:13" x14ac:dyDescent="0.15">
      <c r="A39" s="308" t="s">
        <v>247</v>
      </c>
      <c r="B39" s="306">
        <v>28</v>
      </c>
      <c r="C39" s="307">
        <f t="shared" si="4"/>
        <v>1.530891197375615E-2</v>
      </c>
      <c r="D39" s="136"/>
      <c r="E39" s="532" t="s">
        <v>247</v>
      </c>
      <c r="F39" s="300">
        <v>0</v>
      </c>
      <c r="G39" s="300">
        <v>10</v>
      </c>
      <c r="H39" s="256">
        <f t="shared" si="5"/>
        <v>10</v>
      </c>
      <c r="I39" s="296">
        <f t="shared" si="6"/>
        <v>2.0491803278688523E-2</v>
      </c>
      <c r="L39" s="37"/>
      <c r="M39" s="22"/>
    </row>
    <row r="40" spans="1:13" x14ac:dyDescent="0.15">
      <c r="A40" s="308" t="s">
        <v>378</v>
      </c>
      <c r="B40" s="306">
        <v>295</v>
      </c>
      <c r="C40" s="307">
        <f t="shared" si="4"/>
        <v>0.16129032258064516</v>
      </c>
      <c r="D40" s="136"/>
      <c r="E40" s="532" t="s">
        <v>378</v>
      </c>
      <c r="F40" s="300">
        <v>2</v>
      </c>
      <c r="G40" s="300">
        <v>33</v>
      </c>
      <c r="H40" s="256">
        <f t="shared" si="5"/>
        <v>35</v>
      </c>
      <c r="I40" s="296">
        <f t="shared" si="6"/>
        <v>7.1721311475409832E-2</v>
      </c>
      <c r="L40" s="37"/>
      <c r="M40" s="22"/>
    </row>
    <row r="41" spans="1:13" ht="37.5" customHeight="1" x14ac:dyDescent="0.15">
      <c r="A41" s="531" t="s">
        <v>379</v>
      </c>
      <c r="B41" s="306">
        <v>173</v>
      </c>
      <c r="C41" s="307">
        <f t="shared" si="4"/>
        <v>9.458720612356479E-2</v>
      </c>
      <c r="D41" s="136"/>
      <c r="E41" s="531" t="s">
        <v>379</v>
      </c>
      <c r="F41" s="300">
        <v>4</v>
      </c>
      <c r="G41" s="300">
        <v>19</v>
      </c>
      <c r="H41" s="256">
        <f t="shared" si="5"/>
        <v>23</v>
      </c>
      <c r="I41" s="296">
        <f t="shared" si="6"/>
        <v>4.7131147540983603E-2</v>
      </c>
      <c r="L41" s="37"/>
      <c r="M41" s="22"/>
    </row>
    <row r="42" spans="1:13" x14ac:dyDescent="0.15">
      <c r="A42" s="308" t="s">
        <v>53</v>
      </c>
      <c r="B42" s="306">
        <v>50</v>
      </c>
      <c r="C42" s="307">
        <f t="shared" si="4"/>
        <v>2.7337342810278841E-2</v>
      </c>
      <c r="D42" s="136"/>
      <c r="E42" s="532" t="s">
        <v>53</v>
      </c>
      <c r="F42" s="300">
        <v>5</v>
      </c>
      <c r="G42" s="300">
        <v>13</v>
      </c>
      <c r="H42" s="256">
        <f t="shared" si="5"/>
        <v>18</v>
      </c>
      <c r="I42" s="296">
        <f t="shared" si="6"/>
        <v>3.6885245901639344E-2</v>
      </c>
      <c r="L42" s="37"/>
      <c r="M42" s="22"/>
    </row>
    <row r="43" spans="1:13" x14ac:dyDescent="0.15">
      <c r="B43" s="143"/>
      <c r="F43" s="192"/>
      <c r="G43" s="192"/>
      <c r="H43" s="182"/>
      <c r="I43" s="183"/>
      <c r="L43" s="37"/>
      <c r="M43" s="22"/>
    </row>
    <row r="44" spans="1:13" x14ac:dyDescent="0.15">
      <c r="K44" s="21"/>
      <c r="L44" s="7"/>
      <c r="M44" s="85"/>
    </row>
    <row r="45" spans="1:13" x14ac:dyDescent="0.15">
      <c r="K45" s="21"/>
      <c r="L45" s="7"/>
      <c r="M45" s="85"/>
    </row>
    <row r="46" spans="1:13" x14ac:dyDescent="0.15">
      <c r="K46" s="21"/>
      <c r="L46" s="7"/>
      <c r="M46" s="85"/>
    </row>
    <row r="47" spans="1:13" x14ac:dyDescent="0.15">
      <c r="K47" s="21"/>
      <c r="L47" s="7"/>
      <c r="M47" s="85"/>
    </row>
    <row r="48" spans="1:13" x14ac:dyDescent="0.15">
      <c r="K48" s="21"/>
      <c r="L48" s="21"/>
      <c r="M48" s="21"/>
    </row>
    <row r="49" spans="11:13" x14ac:dyDescent="0.15">
      <c r="K49" s="21"/>
      <c r="L49" s="181"/>
      <c r="M49" s="181"/>
    </row>
    <row r="50" spans="11:13" x14ac:dyDescent="0.15">
      <c r="K50" s="21"/>
      <c r="L50" s="7"/>
      <c r="M50" s="85"/>
    </row>
    <row r="51" spans="11:13" x14ac:dyDescent="0.15">
      <c r="K51" s="21"/>
      <c r="L51" s="7"/>
      <c r="M51" s="85"/>
    </row>
    <row r="52" spans="11:13" x14ac:dyDescent="0.15">
      <c r="K52" s="21"/>
      <c r="L52" s="7"/>
      <c r="M52" s="85"/>
    </row>
    <row r="53" spans="11:13" x14ac:dyDescent="0.15">
      <c r="K53" s="21"/>
      <c r="L53" s="7"/>
      <c r="M53" s="85"/>
    </row>
    <row r="54" spans="11:13" x14ac:dyDescent="0.15">
      <c r="K54" s="21"/>
      <c r="L54" s="7"/>
      <c r="M54" s="85"/>
    </row>
    <row r="55" spans="11:13" x14ac:dyDescent="0.15">
      <c r="K55" s="21"/>
      <c r="L55" s="7"/>
      <c r="M55" s="85"/>
    </row>
    <row r="56" spans="11:13" x14ac:dyDescent="0.15">
      <c r="K56" s="21"/>
      <c r="L56" s="7"/>
      <c r="M56" s="85"/>
    </row>
    <row r="57" spans="11:13" x14ac:dyDescent="0.15">
      <c r="K57" s="21"/>
      <c r="L57" s="7"/>
      <c r="M57" s="85"/>
    </row>
    <row r="58" spans="11:13" x14ac:dyDescent="0.15">
      <c r="K58" s="21"/>
      <c r="L58" s="7"/>
      <c r="M58" s="85"/>
    </row>
    <row r="59" spans="11:13" x14ac:dyDescent="0.15">
      <c r="K59" s="21"/>
      <c r="L59" s="7"/>
      <c r="M59" s="85"/>
    </row>
    <row r="60" spans="11:13" x14ac:dyDescent="0.15">
      <c r="K60" s="21"/>
      <c r="L60" s="7"/>
      <c r="M60" s="85"/>
    </row>
    <row r="61" spans="11:13" x14ac:dyDescent="0.15">
      <c r="K61" s="21"/>
      <c r="L61" s="7"/>
      <c r="M61" s="85"/>
    </row>
    <row r="62" spans="11:13" x14ac:dyDescent="0.15">
      <c r="K62" s="21"/>
      <c r="L62" s="7"/>
      <c r="M62" s="85"/>
    </row>
    <row r="63" spans="11:13" x14ac:dyDescent="0.15">
      <c r="K63" s="21"/>
      <c r="L63" s="7"/>
      <c r="M63" s="85"/>
    </row>
    <row r="64" spans="11:13" x14ac:dyDescent="0.15">
      <c r="K64" s="21"/>
      <c r="L64" s="7"/>
      <c r="M64" s="85"/>
    </row>
    <row r="65" spans="11:13" x14ac:dyDescent="0.15">
      <c r="K65" s="21"/>
      <c r="L65" s="7"/>
      <c r="M65" s="85"/>
    </row>
    <row r="66" spans="11:13" x14ac:dyDescent="0.15">
      <c r="K66" s="21"/>
      <c r="L66" s="7"/>
      <c r="M66" s="85"/>
    </row>
    <row r="67" spans="11:13" x14ac:dyDescent="0.15">
      <c r="K67" s="21"/>
      <c r="L67" s="7"/>
      <c r="M67" s="85"/>
    </row>
    <row r="68" spans="11:13" x14ac:dyDescent="0.15">
      <c r="K68" s="21"/>
      <c r="L68" s="7"/>
      <c r="M68" s="85"/>
    </row>
    <row r="69" spans="11:13" x14ac:dyDescent="0.15">
      <c r="K69" s="21"/>
      <c r="L69" s="7"/>
      <c r="M69" s="85"/>
    </row>
    <row r="70" spans="11:13" x14ac:dyDescent="0.15">
      <c r="K70" s="21"/>
      <c r="L70" s="7"/>
      <c r="M70" s="85"/>
    </row>
    <row r="71" spans="11:13" x14ac:dyDescent="0.15">
      <c r="K71" s="21"/>
      <c r="L71" s="7"/>
      <c r="M71" s="85"/>
    </row>
    <row r="72" spans="11:13" x14ac:dyDescent="0.15">
      <c r="K72" s="21"/>
      <c r="L72" s="21"/>
      <c r="M72" s="21"/>
    </row>
    <row r="73" spans="11:13" x14ac:dyDescent="0.15">
      <c r="K73" s="21"/>
      <c r="L73" s="21"/>
      <c r="M73" s="21"/>
    </row>
    <row r="74" spans="11:13" x14ac:dyDescent="0.15">
      <c r="K74" s="21"/>
      <c r="L74" s="21"/>
      <c r="M74" s="21"/>
    </row>
    <row r="75" spans="11:13" x14ac:dyDescent="0.15">
      <c r="L75" s="139"/>
      <c r="M75" s="139"/>
    </row>
    <row r="76" spans="11:13" x14ac:dyDescent="0.15">
      <c r="L76" s="37"/>
      <c r="M76" s="22"/>
    </row>
    <row r="77" spans="11:13" x14ac:dyDescent="0.15">
      <c r="L77" s="37"/>
      <c r="M77" s="22"/>
    </row>
    <row r="78" spans="11:13" x14ac:dyDescent="0.15">
      <c r="L78" s="37"/>
      <c r="M78" s="22"/>
    </row>
    <row r="79" spans="11:13" x14ac:dyDescent="0.15">
      <c r="L79" s="37"/>
      <c r="M79" s="22"/>
    </row>
    <row r="80" spans="11:13" x14ac:dyDescent="0.15">
      <c r="L80" s="37"/>
      <c r="M80" s="22"/>
    </row>
    <row r="81" spans="11:13" x14ac:dyDescent="0.15">
      <c r="L81" s="37"/>
      <c r="M81" s="22"/>
    </row>
    <row r="82" spans="11:13" x14ac:dyDescent="0.15">
      <c r="L82" s="37"/>
      <c r="M82" s="22"/>
    </row>
    <row r="83" spans="11:13" x14ac:dyDescent="0.15">
      <c r="L83" s="37"/>
      <c r="M83" s="22"/>
    </row>
    <row r="84" spans="11:13" x14ac:dyDescent="0.15">
      <c r="L84" s="37"/>
      <c r="M84" s="22"/>
    </row>
    <row r="85" spans="11:13" x14ac:dyDescent="0.15">
      <c r="L85" s="37"/>
      <c r="M85" s="22"/>
    </row>
    <row r="86" spans="11:13" x14ac:dyDescent="0.15">
      <c r="L86" s="37"/>
      <c r="M86" s="22"/>
    </row>
    <row r="87" spans="11:13" x14ac:dyDescent="0.15">
      <c r="L87" s="37"/>
      <c r="M87" s="22"/>
    </row>
    <row r="88" spans="11:13" x14ac:dyDescent="0.15">
      <c r="L88" s="37"/>
      <c r="M88" s="22"/>
    </row>
    <row r="89" spans="11:13" x14ac:dyDescent="0.15">
      <c r="L89" s="37"/>
      <c r="M89" s="22"/>
    </row>
    <row r="90" spans="11:13" x14ac:dyDescent="0.15">
      <c r="L90" s="37"/>
      <c r="M90" s="22"/>
    </row>
    <row r="91" spans="11:13" x14ac:dyDescent="0.15">
      <c r="L91" s="37"/>
      <c r="M91" s="22"/>
    </row>
    <row r="92" spans="11:13" x14ac:dyDescent="0.15">
      <c r="L92" s="37"/>
      <c r="M92" s="22"/>
    </row>
    <row r="93" spans="11:13" x14ac:dyDescent="0.15">
      <c r="L93" s="37"/>
      <c r="M93" s="22"/>
    </row>
    <row r="94" spans="11:13" x14ac:dyDescent="0.15">
      <c r="K94" s="193"/>
      <c r="L94" s="194"/>
      <c r="M94" s="195"/>
    </row>
    <row r="95" spans="11:13" x14ac:dyDescent="0.15">
      <c r="K95" s="21"/>
      <c r="L95" s="7"/>
      <c r="M95" s="85"/>
    </row>
    <row r="96" spans="11:13" x14ac:dyDescent="0.15">
      <c r="K96" s="196"/>
      <c r="L96" s="197"/>
      <c r="M96" s="198"/>
    </row>
    <row r="97" spans="12:13" x14ac:dyDescent="0.15">
      <c r="L97" s="37"/>
      <c r="M97" s="22"/>
    </row>
  </sheetData>
  <mergeCells count="2">
    <mergeCell ref="A21:C21"/>
    <mergeCell ref="E21:I21"/>
  </mergeCells>
  <phoneticPr fontId="2"/>
  <pageMargins left="0.70866141732283472" right="0.70866141732283472" top="0.74803149606299213" bottom="0.74803149606299213" header="0.31496062992125984" footer="0.31496062992125984"/>
  <pageSetup paperSize="9" scale="6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Button 1">
              <controlPr defaultSize="0" print="0" autoFill="0" autoPict="0" macro="[0]!データ削除_退院阻害要因">
                <anchor moveWithCells="1" sizeWithCells="1">
                  <from>
                    <xdr:col>10</xdr:col>
                    <xdr:colOff>295275</xdr:colOff>
                    <xdr:row>4</xdr:row>
                    <xdr:rowOff>9525</xdr:rowOff>
                  </from>
                  <to>
                    <xdr:col>11</xdr:col>
                    <xdr:colOff>1438275</xdr:colOff>
                    <xdr:row>5</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00B0F0"/>
    <pageSetUpPr fitToPage="1"/>
  </sheetPr>
  <dimension ref="A1:T54"/>
  <sheetViews>
    <sheetView showGridLines="0" view="pageBreakPreview" topLeftCell="C1" zoomScaleNormal="100" zoomScaleSheetLayoutView="100" workbookViewId="0">
      <selection activeCell="J10" sqref="J10"/>
    </sheetView>
  </sheetViews>
  <sheetFormatPr defaultColWidth="13.75" defaultRowHeight="18.75" x14ac:dyDescent="0.15"/>
  <cols>
    <col min="1" max="1" width="15.375" style="1" bestFit="1" customWidth="1"/>
    <col min="2" max="3" width="9.375" style="1" customWidth="1"/>
    <col min="4" max="4" width="4.125" style="1" customWidth="1"/>
    <col min="5" max="5" width="15.375" style="1" customWidth="1"/>
    <col min="6" max="9" width="9.375" style="1" customWidth="1"/>
    <col min="10" max="10" width="13.75" style="1"/>
    <col min="11" max="20" width="13.75" style="1" hidden="1" customWidth="1"/>
    <col min="21" max="16384" width="13.75" style="1"/>
  </cols>
  <sheetData>
    <row r="1" spans="1:17" s="3" customFormat="1" ht="19.5" x14ac:dyDescent="0.15">
      <c r="A1" s="2" t="s">
        <v>84</v>
      </c>
    </row>
    <row r="2" spans="1:17" x14ac:dyDescent="0.15">
      <c r="A2" s="4"/>
      <c r="K2" s="55" t="s">
        <v>63</v>
      </c>
    </row>
    <row r="3" spans="1:17" s="3" customFormat="1" ht="20.25" thickBot="1" x14ac:dyDescent="0.2">
      <c r="A3" s="4" t="s">
        <v>13</v>
      </c>
      <c r="E3" s="4" t="s">
        <v>146</v>
      </c>
      <c r="K3" s="383" t="s">
        <v>298</v>
      </c>
      <c r="L3" s="480" t="s">
        <v>278</v>
      </c>
      <c r="N3" s="383" t="s">
        <v>298</v>
      </c>
      <c r="O3" s="34" t="s">
        <v>276</v>
      </c>
      <c r="P3" s="383" t="s">
        <v>298</v>
      </c>
      <c r="Q3" s="34" t="s">
        <v>277</v>
      </c>
    </row>
    <row r="4" spans="1:17" ht="20.25" thickTop="1" thickBot="1" x14ac:dyDescent="0.2">
      <c r="A4" s="310"/>
      <c r="B4" s="311" t="s">
        <v>0</v>
      </c>
      <c r="C4" s="311" t="s">
        <v>1</v>
      </c>
      <c r="E4" s="310"/>
      <c r="F4" s="311" t="s">
        <v>147</v>
      </c>
      <c r="G4" s="311" t="s">
        <v>148</v>
      </c>
      <c r="H4" s="311" t="s">
        <v>12</v>
      </c>
      <c r="I4" s="311" t="s">
        <v>1</v>
      </c>
      <c r="K4" s="416" t="s">
        <v>373</v>
      </c>
      <c r="L4" s="34" t="s">
        <v>611</v>
      </c>
      <c r="N4" s="416" t="s">
        <v>373</v>
      </c>
      <c r="O4" s="34" t="s">
        <v>611</v>
      </c>
      <c r="P4" s="416" t="s">
        <v>373</v>
      </c>
      <c r="Q4" s="34" t="s">
        <v>611</v>
      </c>
    </row>
    <row r="5" spans="1:17" ht="19.5" thickTop="1" x14ac:dyDescent="0.15">
      <c r="A5" s="294" t="s">
        <v>2</v>
      </c>
      <c r="B5" s="258">
        <f>IFERROR(VLOOKUP($A5,年齢区分＿1年以上[#All],2,FALSE),0)</f>
        <v>6</v>
      </c>
      <c r="C5" s="296">
        <f>IFERROR(B5/B$14,"-")</f>
        <v>6.8461889548151534E-4</v>
      </c>
      <c r="E5" s="294" t="s">
        <v>2</v>
      </c>
      <c r="F5" s="258">
        <f>IFERROR(VLOOKUP($A5,年齢区分＿1年以上＿寛解[#All],2,FALSE),0)</f>
        <v>0</v>
      </c>
      <c r="G5" s="258">
        <f>IFERROR(VLOOKUP($A5,年齢区分＿1年以上＿院内寛解[#All],2,FALSE),0)</f>
        <v>2</v>
      </c>
      <c r="H5" s="256">
        <f>SUM(F5:G5)</f>
        <v>2</v>
      </c>
      <c r="I5" s="296">
        <f>IFERROR(H5/H$14,"-")</f>
        <v>3.838771593090211E-3</v>
      </c>
      <c r="K5" s="55" t="s">
        <v>2</v>
      </c>
      <c r="L5" s="376">
        <v>6</v>
      </c>
      <c r="M5" s="11"/>
      <c r="N5" s="55" t="s">
        <v>2</v>
      </c>
      <c r="O5" s="376">
        <v>0</v>
      </c>
      <c r="P5" s="55" t="s">
        <v>2</v>
      </c>
      <c r="Q5" s="376">
        <v>2</v>
      </c>
    </row>
    <row r="6" spans="1:17" x14ac:dyDescent="0.15">
      <c r="A6" s="294" t="s">
        <v>3</v>
      </c>
      <c r="B6" s="258">
        <f>IFERROR(VLOOKUP($A6,年齢区分＿1年以上[#All],2,FALSE),0)</f>
        <v>48</v>
      </c>
      <c r="C6" s="296">
        <f t="shared" ref="C6:C13" si="0">IFERROR(B6/B$14,"-")</f>
        <v>5.4769511638521227E-3</v>
      </c>
      <c r="E6" s="294" t="s">
        <v>3</v>
      </c>
      <c r="F6" s="258">
        <f>IFERROR(VLOOKUP($A6,年齢区分＿1年以上＿寛解[#All],2,FALSE),0)</f>
        <v>1</v>
      </c>
      <c r="G6" s="258">
        <f>IFERROR(VLOOKUP($A6,年齢区分＿1年以上＿院内寛解[#All],2,FALSE),0)</f>
        <v>4</v>
      </c>
      <c r="H6" s="256">
        <f t="shared" ref="H6:H13" si="1">SUM(F6:G6)</f>
        <v>5</v>
      </c>
      <c r="I6" s="296">
        <f t="shared" ref="I6:I16" si="2">IFERROR(H6/H$14,"-")</f>
        <v>9.5969289827255271E-3</v>
      </c>
      <c r="K6" s="55" t="s">
        <v>3</v>
      </c>
      <c r="L6" s="376">
        <v>48</v>
      </c>
      <c r="M6" s="14"/>
      <c r="N6" s="55" t="s">
        <v>3</v>
      </c>
      <c r="O6" s="376">
        <v>1</v>
      </c>
      <c r="P6" s="55" t="s">
        <v>3</v>
      </c>
      <c r="Q6" s="376">
        <v>4</v>
      </c>
    </row>
    <row r="7" spans="1:17" x14ac:dyDescent="0.15">
      <c r="A7" s="294" t="s">
        <v>4</v>
      </c>
      <c r="B7" s="258">
        <f>IFERROR(VLOOKUP($A7,年齢区分＿1年以上[#All],2,FALSE),0)</f>
        <v>224</v>
      </c>
      <c r="C7" s="296">
        <f t="shared" si="0"/>
        <v>2.5559105431309903E-2</v>
      </c>
      <c r="E7" s="294" t="s">
        <v>4</v>
      </c>
      <c r="F7" s="258">
        <f>IFERROR(VLOOKUP($A7,年齢区分＿1年以上＿寛解[#All],2,FALSE),0)</f>
        <v>1</v>
      </c>
      <c r="G7" s="258">
        <f>IFERROR(VLOOKUP($A7,年齢区分＿1年以上＿院内寛解[#All],2,FALSE),0)</f>
        <v>15</v>
      </c>
      <c r="H7" s="256">
        <f t="shared" si="1"/>
        <v>16</v>
      </c>
      <c r="I7" s="296">
        <f t="shared" si="2"/>
        <v>3.0710172744721688E-2</v>
      </c>
      <c r="K7" s="55" t="s">
        <v>4</v>
      </c>
      <c r="L7" s="376">
        <v>224</v>
      </c>
      <c r="M7" s="14"/>
      <c r="N7" s="55" t="s">
        <v>4</v>
      </c>
      <c r="O7" s="376">
        <v>1</v>
      </c>
      <c r="P7" s="55" t="s">
        <v>4</v>
      </c>
      <c r="Q7" s="376">
        <v>15</v>
      </c>
    </row>
    <row r="8" spans="1:17" x14ac:dyDescent="0.15">
      <c r="A8" s="294" t="s">
        <v>5</v>
      </c>
      <c r="B8" s="258">
        <f>IFERROR(VLOOKUP($A8,年齢区分＿1年以上[#All],2,FALSE),0)</f>
        <v>653</v>
      </c>
      <c r="C8" s="296">
        <f t="shared" si="0"/>
        <v>7.4509356458238252E-2</v>
      </c>
      <c r="E8" s="294" t="s">
        <v>5</v>
      </c>
      <c r="F8" s="258">
        <f>IFERROR(VLOOKUP($A8,年齢区分＿1年以上＿寛解[#All],2,FALSE),0)</f>
        <v>5</v>
      </c>
      <c r="G8" s="258">
        <f>IFERROR(VLOOKUP($A8,年齢区分＿1年以上＿院内寛解[#All],2,FALSE),0)</f>
        <v>41</v>
      </c>
      <c r="H8" s="256">
        <f t="shared" si="1"/>
        <v>46</v>
      </c>
      <c r="I8" s="296">
        <f t="shared" si="2"/>
        <v>8.829174664107485E-2</v>
      </c>
      <c r="K8" s="55" t="s">
        <v>5</v>
      </c>
      <c r="L8" s="376">
        <v>653</v>
      </c>
      <c r="M8" s="17"/>
      <c r="N8" s="55" t="s">
        <v>5</v>
      </c>
      <c r="O8" s="376">
        <v>5</v>
      </c>
      <c r="P8" s="55" t="s">
        <v>5</v>
      </c>
      <c r="Q8" s="376">
        <v>41</v>
      </c>
    </row>
    <row r="9" spans="1:17" x14ac:dyDescent="0.15">
      <c r="A9" s="294" t="s">
        <v>6</v>
      </c>
      <c r="B9" s="258">
        <f>IFERROR(VLOOKUP($A9,年齢区分＿1年以上[#All],2,FALSE),0)</f>
        <v>1501</v>
      </c>
      <c r="C9" s="296">
        <f t="shared" si="0"/>
        <v>0.17126882701962573</v>
      </c>
      <c r="E9" s="294" t="s">
        <v>6</v>
      </c>
      <c r="F9" s="258">
        <f>IFERROR(VLOOKUP($A9,年齢区分＿1年以上＿寛解[#All],2,FALSE),0)</f>
        <v>13</v>
      </c>
      <c r="G9" s="258">
        <f>IFERROR(VLOOKUP($A9,年齢区分＿1年以上＿院内寛解[#All],2,FALSE),0)</f>
        <v>75</v>
      </c>
      <c r="H9" s="256">
        <f t="shared" si="1"/>
        <v>88</v>
      </c>
      <c r="I9" s="296">
        <f t="shared" si="2"/>
        <v>0.16890595009596929</v>
      </c>
      <c r="K9" s="55" t="s">
        <v>6</v>
      </c>
      <c r="L9" s="376">
        <v>1501</v>
      </c>
      <c r="M9" s="17"/>
      <c r="N9" s="55" t="s">
        <v>6</v>
      </c>
      <c r="O9" s="376">
        <v>13</v>
      </c>
      <c r="P9" s="55" t="s">
        <v>6</v>
      </c>
      <c r="Q9" s="376">
        <v>75</v>
      </c>
    </row>
    <row r="10" spans="1:17" x14ac:dyDescent="0.15">
      <c r="A10" s="294" t="s">
        <v>7</v>
      </c>
      <c r="B10" s="258">
        <f>IFERROR(VLOOKUP($A10,年齢区分＿1年以上[#All],2,FALSE),0)</f>
        <v>1664</v>
      </c>
      <c r="C10" s="296">
        <f t="shared" si="0"/>
        <v>0.18986764034687356</v>
      </c>
      <c r="E10" s="294" t="s">
        <v>7</v>
      </c>
      <c r="F10" s="258">
        <f>IFERROR(VLOOKUP($A10,年齢区分＿1年以上＿寛解[#All],2,FALSE),0)</f>
        <v>10</v>
      </c>
      <c r="G10" s="258">
        <f>IFERROR(VLOOKUP($A10,年齢区分＿1年以上＿院内寛解[#All],2,FALSE),0)</f>
        <v>96</v>
      </c>
      <c r="H10" s="256">
        <f t="shared" si="1"/>
        <v>106</v>
      </c>
      <c r="I10" s="296">
        <f t="shared" si="2"/>
        <v>0.2034548944337812</v>
      </c>
      <c r="K10" s="55" t="s">
        <v>7</v>
      </c>
      <c r="L10" s="376">
        <v>1664</v>
      </c>
      <c r="M10" s="17"/>
      <c r="N10" s="55" t="s">
        <v>7</v>
      </c>
      <c r="O10" s="376">
        <v>10</v>
      </c>
      <c r="P10" s="55" t="s">
        <v>7</v>
      </c>
      <c r="Q10" s="376">
        <v>96</v>
      </c>
    </row>
    <row r="11" spans="1:17" x14ac:dyDescent="0.15">
      <c r="A11" s="294" t="s">
        <v>8</v>
      </c>
      <c r="B11" s="258">
        <f>IFERROR(VLOOKUP($A11,年齢区分＿1年以上[#All],2,FALSE),0)</f>
        <v>2394</v>
      </c>
      <c r="C11" s="296">
        <f t="shared" si="0"/>
        <v>0.2731629392971246</v>
      </c>
      <c r="E11" s="294" t="s">
        <v>8</v>
      </c>
      <c r="F11" s="258">
        <f>IFERROR(VLOOKUP($A11,年齢区分＿1年以上＿寛解[#All],2,FALSE),0)</f>
        <v>20</v>
      </c>
      <c r="G11" s="258">
        <f>IFERROR(VLOOKUP($A11,年齢区分＿1年以上＿院内寛解[#All],2,FALSE),0)</f>
        <v>127</v>
      </c>
      <c r="H11" s="256">
        <f t="shared" si="1"/>
        <v>147</v>
      </c>
      <c r="I11" s="296">
        <f t="shared" si="2"/>
        <v>0.28214971209213052</v>
      </c>
      <c r="K11" s="55" t="s">
        <v>8</v>
      </c>
      <c r="L11" s="376">
        <v>2394</v>
      </c>
      <c r="M11" s="17"/>
      <c r="N11" s="55" t="s">
        <v>8</v>
      </c>
      <c r="O11" s="376">
        <v>20</v>
      </c>
      <c r="P11" s="55" t="s">
        <v>8</v>
      </c>
      <c r="Q11" s="376">
        <v>127</v>
      </c>
    </row>
    <row r="12" spans="1:17" x14ac:dyDescent="0.15">
      <c r="A12" s="294" t="s">
        <v>9</v>
      </c>
      <c r="B12" s="258">
        <f>IFERROR(VLOOKUP($A12,年齢区分＿1年以上[#All],2,FALSE),0)</f>
        <v>1812</v>
      </c>
      <c r="C12" s="296">
        <f t="shared" si="0"/>
        <v>0.20675490643541761</v>
      </c>
      <c r="E12" s="294" t="s">
        <v>9</v>
      </c>
      <c r="F12" s="258">
        <f>IFERROR(VLOOKUP($A12,年齢区分＿1年以上＿寛解[#All],2,FALSE),0)</f>
        <v>11</v>
      </c>
      <c r="G12" s="258">
        <f>IFERROR(VLOOKUP($A12,年齢区分＿1年以上＿院内寛解[#All],2,FALSE),0)</f>
        <v>81</v>
      </c>
      <c r="H12" s="256">
        <f t="shared" si="1"/>
        <v>92</v>
      </c>
      <c r="I12" s="296">
        <f t="shared" si="2"/>
        <v>0.1765834932821497</v>
      </c>
      <c r="K12" s="55" t="s">
        <v>9</v>
      </c>
      <c r="L12" s="376">
        <v>1812</v>
      </c>
      <c r="M12" s="17"/>
      <c r="N12" s="55" t="s">
        <v>9</v>
      </c>
      <c r="O12" s="376">
        <v>11</v>
      </c>
      <c r="P12" s="55" t="s">
        <v>9</v>
      </c>
      <c r="Q12" s="376">
        <v>81</v>
      </c>
    </row>
    <row r="13" spans="1:17" x14ac:dyDescent="0.15">
      <c r="A13" s="294" t="s">
        <v>10</v>
      </c>
      <c r="B13" s="258">
        <f>IFERROR(VLOOKUP($A13,年齢区分＿1年以上[#All],2,FALSE),0)</f>
        <v>462</v>
      </c>
      <c r="C13" s="296">
        <f t="shared" si="0"/>
        <v>5.2715654952076675E-2</v>
      </c>
      <c r="E13" s="294" t="s">
        <v>10</v>
      </c>
      <c r="F13" s="258">
        <f>IFERROR(VLOOKUP($A13,年齢区分＿1年以上＿寛解[#All],2,FALSE),0)</f>
        <v>2</v>
      </c>
      <c r="G13" s="258">
        <f>IFERROR(VLOOKUP($A13,年齢区分＿1年以上＿院内寛解[#All],2,FALSE),0)</f>
        <v>17</v>
      </c>
      <c r="H13" s="256">
        <f t="shared" si="1"/>
        <v>19</v>
      </c>
      <c r="I13" s="296">
        <f t="shared" si="2"/>
        <v>3.6468330134357005E-2</v>
      </c>
      <c r="K13" s="55" t="s">
        <v>10</v>
      </c>
      <c r="L13" s="376">
        <v>462</v>
      </c>
      <c r="M13" s="17"/>
      <c r="N13" s="55" t="s">
        <v>10</v>
      </c>
      <c r="O13" s="376">
        <v>2</v>
      </c>
      <c r="P13" s="55" t="s">
        <v>10</v>
      </c>
      <c r="Q13" s="376">
        <v>17</v>
      </c>
    </row>
    <row r="14" spans="1:17" ht="19.5" thickBot="1" x14ac:dyDescent="0.2">
      <c r="A14" s="312" t="s">
        <v>11</v>
      </c>
      <c r="B14" s="313">
        <f>SUM(B5:B13)</f>
        <v>8764</v>
      </c>
      <c r="C14" s="314">
        <f>SUM(C5:C13)</f>
        <v>0.99999999999999989</v>
      </c>
      <c r="E14" s="312" t="s">
        <v>11</v>
      </c>
      <c r="F14" s="313">
        <f>SUM(F5:F13)</f>
        <v>63</v>
      </c>
      <c r="G14" s="313">
        <f t="shared" ref="G14" si="3">SUM(G5:G13)</f>
        <v>458</v>
      </c>
      <c r="H14" s="313">
        <f>SUM(H5:H13)</f>
        <v>521</v>
      </c>
      <c r="I14" s="314">
        <f>SUM(I5:I13)</f>
        <v>1</v>
      </c>
      <c r="K14" s="15"/>
      <c r="L14" s="60"/>
      <c r="M14" s="17"/>
      <c r="N14" s="15"/>
      <c r="O14" s="60"/>
      <c r="P14" s="15"/>
      <c r="Q14" s="60"/>
    </row>
    <row r="15" spans="1:17" s="3" customFormat="1" ht="21" thickTop="1" thickBot="1" x14ac:dyDescent="0.2">
      <c r="A15" s="308" t="s">
        <v>92</v>
      </c>
      <c r="B15" s="299">
        <f>B14-B16</f>
        <v>3252</v>
      </c>
      <c r="C15" s="458">
        <f t="shared" ref="C15:C16" si="4">IFERROR(B15/B$14,"-")</f>
        <v>0.37106344135098129</v>
      </c>
      <c r="D15" s="21"/>
      <c r="E15" s="308" t="s">
        <v>92</v>
      </c>
      <c r="F15" s="299">
        <f t="shared" ref="F15:G15" si="5">F14-F16</f>
        <v>24</v>
      </c>
      <c r="G15" s="299">
        <f t="shared" si="5"/>
        <v>177</v>
      </c>
      <c r="H15" s="309">
        <f>SUM(F15:G15)</f>
        <v>201</v>
      </c>
      <c r="I15" s="458">
        <f t="shared" si="2"/>
        <v>0.38579654510556621</v>
      </c>
      <c r="K15" s="375" t="s">
        <v>89</v>
      </c>
      <c r="L15" s="486">
        <v>5512</v>
      </c>
      <c r="M15" s="9"/>
      <c r="N15" s="375" t="s">
        <v>89</v>
      </c>
      <c r="O15" s="486">
        <v>39</v>
      </c>
      <c r="P15" s="375" t="s">
        <v>89</v>
      </c>
      <c r="Q15" s="486">
        <v>281</v>
      </c>
    </row>
    <row r="16" spans="1:17" ht="19.5" thickTop="1" x14ac:dyDescent="0.15">
      <c r="A16" s="298" t="s">
        <v>91</v>
      </c>
      <c r="B16" s="299">
        <f>L15</f>
        <v>5512</v>
      </c>
      <c r="C16" s="458">
        <f t="shared" si="4"/>
        <v>0.62893655864901876</v>
      </c>
      <c r="D16" s="21"/>
      <c r="E16" s="298" t="s">
        <v>91</v>
      </c>
      <c r="F16" s="309">
        <f>O15</f>
        <v>39</v>
      </c>
      <c r="G16" s="309">
        <f>Q15</f>
        <v>281</v>
      </c>
      <c r="H16" s="309">
        <f>SUM(F16:G16)</f>
        <v>320</v>
      </c>
      <c r="I16" s="458">
        <f t="shared" si="2"/>
        <v>0.61420345489443373</v>
      </c>
      <c r="K16" s="21"/>
      <c r="L16" s="21"/>
      <c r="M16" s="21"/>
      <c r="N16" s="21"/>
    </row>
    <row r="17" spans="1:14" x14ac:dyDescent="0.15">
      <c r="K17" s="21"/>
      <c r="L17" s="21"/>
      <c r="M17" s="21"/>
      <c r="N17" s="21"/>
    </row>
    <row r="18" spans="1:14" ht="13.5" customHeight="1" x14ac:dyDescent="0.15">
      <c r="K18" s="45"/>
      <c r="L18" s="46"/>
      <c r="M18" s="46"/>
      <c r="N18" s="21"/>
    </row>
    <row r="19" spans="1:14" x14ac:dyDescent="0.15">
      <c r="K19" s="7"/>
      <c r="L19" s="8"/>
      <c r="M19" s="48"/>
      <c r="N19" s="21"/>
    </row>
    <row r="20" spans="1:14" x14ac:dyDescent="0.15">
      <c r="K20" s="7"/>
      <c r="L20" s="8"/>
      <c r="M20" s="48"/>
      <c r="N20" s="21"/>
    </row>
    <row r="21" spans="1:14" x14ac:dyDescent="0.15">
      <c r="K21" s="7"/>
      <c r="L21" s="8"/>
      <c r="M21" s="48"/>
      <c r="N21" s="21"/>
    </row>
    <row r="22" spans="1:14" x14ac:dyDescent="0.15">
      <c r="K22" s="7"/>
      <c r="L22" s="8"/>
      <c r="M22" s="48"/>
      <c r="N22" s="21"/>
    </row>
    <row r="23" spans="1:14" x14ac:dyDescent="0.15">
      <c r="K23" s="7"/>
      <c r="L23" s="8"/>
      <c r="M23" s="48"/>
      <c r="N23" s="21"/>
    </row>
    <row r="24" spans="1:14" x14ac:dyDescent="0.15">
      <c r="K24" s="7"/>
      <c r="L24" s="8"/>
      <c r="M24" s="48"/>
      <c r="N24" s="21"/>
    </row>
    <row r="25" spans="1:14" x14ac:dyDescent="0.15">
      <c r="K25" s="7"/>
      <c r="L25" s="8"/>
      <c r="M25" s="48"/>
      <c r="N25" s="21"/>
    </row>
    <row r="26" spans="1:14" x14ac:dyDescent="0.15">
      <c r="K26" s="7"/>
      <c r="L26" s="8"/>
      <c r="M26" s="48"/>
      <c r="N26" s="21"/>
    </row>
    <row r="27" spans="1:14" x14ac:dyDescent="0.15">
      <c r="B27" s="37"/>
      <c r="K27" s="7"/>
      <c r="L27" s="50"/>
      <c r="M27" s="51"/>
      <c r="N27" s="21"/>
    </row>
    <row r="28" spans="1:14" x14ac:dyDescent="0.15">
      <c r="K28" s="49"/>
      <c r="L28" s="50"/>
      <c r="M28" s="51"/>
      <c r="N28" s="21"/>
    </row>
    <row r="29" spans="1:14" x14ac:dyDescent="0.15">
      <c r="K29" s="21"/>
      <c r="L29" s="21"/>
      <c r="M29" s="21"/>
      <c r="N29" s="21"/>
    </row>
    <row r="30" spans="1:14" x14ac:dyDescent="0.15">
      <c r="K30" s="7"/>
      <c r="L30" s="21"/>
      <c r="M30" s="21"/>
      <c r="N30" s="21"/>
    </row>
    <row r="31" spans="1:14" x14ac:dyDescent="0.15">
      <c r="A31" s="37"/>
      <c r="B31" s="22"/>
      <c r="K31" s="45"/>
      <c r="L31" s="46"/>
      <c r="M31" s="46"/>
      <c r="N31" s="21"/>
    </row>
    <row r="32" spans="1:14" x14ac:dyDescent="0.15">
      <c r="A32" s="37"/>
      <c r="B32" s="22"/>
      <c r="K32" s="7"/>
      <c r="L32" s="8"/>
      <c r="M32" s="48"/>
      <c r="N32" s="21"/>
    </row>
    <row r="33" spans="1:14" x14ac:dyDescent="0.15">
      <c r="A33" s="37"/>
      <c r="B33" s="22"/>
      <c r="K33" s="7"/>
      <c r="L33" s="8"/>
      <c r="M33" s="48"/>
      <c r="N33" s="21"/>
    </row>
    <row r="34" spans="1:14" x14ac:dyDescent="0.15">
      <c r="K34" s="7"/>
      <c r="L34" s="8"/>
      <c r="M34" s="48"/>
      <c r="N34" s="21"/>
    </row>
    <row r="35" spans="1:14" x14ac:dyDescent="0.15">
      <c r="K35" s="7"/>
      <c r="L35" s="8"/>
      <c r="M35" s="48"/>
      <c r="N35" s="21"/>
    </row>
    <row r="36" spans="1:14" x14ac:dyDescent="0.15">
      <c r="K36" s="7"/>
      <c r="L36" s="8"/>
      <c r="M36" s="48"/>
      <c r="N36" s="21"/>
    </row>
    <row r="37" spans="1:14" x14ac:dyDescent="0.15">
      <c r="K37" s="7"/>
      <c r="L37" s="8"/>
      <c r="M37" s="48"/>
      <c r="N37" s="21"/>
    </row>
    <row r="38" spans="1:14" x14ac:dyDescent="0.15">
      <c r="K38" s="7"/>
      <c r="L38" s="8"/>
      <c r="M38" s="48"/>
      <c r="N38" s="21"/>
    </row>
    <row r="39" spans="1:14" x14ac:dyDescent="0.15">
      <c r="K39" s="7"/>
      <c r="L39" s="8"/>
      <c r="M39" s="48"/>
      <c r="N39" s="21"/>
    </row>
    <row r="40" spans="1:14" x14ac:dyDescent="0.15">
      <c r="K40" s="7"/>
      <c r="L40" s="8"/>
      <c r="M40" s="48"/>
      <c r="N40" s="21"/>
    </row>
    <row r="41" spans="1:14" x14ac:dyDescent="0.15">
      <c r="K41" s="49"/>
      <c r="L41" s="50"/>
      <c r="M41" s="51"/>
      <c r="N41" s="21"/>
    </row>
    <row r="42" spans="1:14" x14ac:dyDescent="0.15">
      <c r="K42" s="21"/>
      <c r="L42" s="21"/>
      <c r="M42" s="21"/>
      <c r="N42" s="21"/>
    </row>
    <row r="43" spans="1:14" x14ac:dyDescent="0.15">
      <c r="K43" s="21"/>
      <c r="L43" s="21"/>
      <c r="M43" s="21"/>
      <c r="N43" s="21"/>
    </row>
    <row r="44" spans="1:14" x14ac:dyDescent="0.15">
      <c r="K44" s="21"/>
      <c r="L44" s="21"/>
      <c r="M44" s="21"/>
      <c r="N44" s="21"/>
    </row>
    <row r="45" spans="1:14" x14ac:dyDescent="0.15">
      <c r="K45" s="21"/>
      <c r="L45" s="21"/>
      <c r="M45" s="21"/>
      <c r="N45" s="21"/>
    </row>
    <row r="46" spans="1:14" x14ac:dyDescent="0.15">
      <c r="K46" s="21"/>
      <c r="L46" s="21"/>
      <c r="M46" s="21"/>
      <c r="N46" s="21"/>
    </row>
    <row r="47" spans="1:14" x14ac:dyDescent="0.15">
      <c r="K47" s="21"/>
      <c r="L47" s="21"/>
      <c r="M47" s="21"/>
      <c r="N47" s="21"/>
    </row>
    <row r="48" spans="1:14" x14ac:dyDescent="0.15">
      <c r="K48" s="21"/>
      <c r="L48" s="21"/>
      <c r="M48" s="21"/>
      <c r="N48" s="21"/>
    </row>
    <row r="49" spans="11:14" x14ac:dyDescent="0.15">
      <c r="K49" s="21"/>
      <c r="L49" s="21"/>
      <c r="M49" s="21"/>
      <c r="N49" s="21"/>
    </row>
    <row r="50" spans="11:14" x14ac:dyDescent="0.15">
      <c r="K50" s="21"/>
      <c r="L50" s="21"/>
      <c r="M50" s="21"/>
      <c r="N50" s="21"/>
    </row>
    <row r="51" spans="11:14" x14ac:dyDescent="0.15">
      <c r="K51" s="21"/>
      <c r="L51" s="21"/>
      <c r="M51" s="21"/>
      <c r="N51" s="21"/>
    </row>
    <row r="52" spans="11:14" x14ac:dyDescent="0.15">
      <c r="K52" s="21"/>
      <c r="L52" s="21"/>
      <c r="M52" s="21"/>
      <c r="N52" s="21"/>
    </row>
    <row r="53" spans="11:14" x14ac:dyDescent="0.15">
      <c r="K53" s="21"/>
      <c r="L53" s="21"/>
      <c r="M53" s="21"/>
      <c r="N53" s="21"/>
    </row>
    <row r="54" spans="11:14" x14ac:dyDescent="0.15">
      <c r="K54" s="21"/>
      <c r="L54" s="21"/>
      <c r="M54" s="21"/>
      <c r="N54" s="21"/>
    </row>
  </sheetData>
  <phoneticPr fontId="2"/>
  <pageMargins left="0.70866141732283472" right="0.70866141732283472" top="0.74803149606299213" bottom="0.74803149606299213" header="0.31496062992125984" footer="0.31496062992125984"/>
  <pageSetup paperSize="11" scale="9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データ削除_年齢区分_1年以上">
                <anchor moveWithCells="1" sizeWithCells="1">
                  <from>
                    <xdr:col>17</xdr:col>
                    <xdr:colOff>704850</xdr:colOff>
                    <xdr:row>3</xdr:row>
                    <xdr:rowOff>76200</xdr:rowOff>
                  </from>
                  <to>
                    <xdr:col>19</xdr:col>
                    <xdr:colOff>161925</xdr:colOff>
                    <xdr:row>5</xdr:row>
                    <xdr:rowOff>114300</xdr:rowOff>
                  </to>
                </anchor>
              </controlPr>
            </control>
          </mc:Choice>
        </mc:AlternateContent>
      </controls>
    </mc:Choice>
  </mc:AlternateContent>
  <tableParts count="3">
    <tablePart r:id="rId5"/>
    <tablePart r:id="rId6"/>
    <tablePart r:id="rId7"/>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00B0F0"/>
    <pageSetUpPr fitToPage="1"/>
  </sheetPr>
  <dimension ref="A1:L40"/>
  <sheetViews>
    <sheetView showGridLines="0" view="pageBreakPreview" zoomScale="80" zoomScaleNormal="100" zoomScaleSheetLayoutView="80" workbookViewId="0">
      <selection activeCell="G1" sqref="G1:L1048576"/>
    </sheetView>
  </sheetViews>
  <sheetFormatPr defaultRowHeight="18.75" x14ac:dyDescent="0.15"/>
  <cols>
    <col min="1" max="1" width="22.125" style="1" customWidth="1"/>
    <col min="2" max="5" width="9.375" style="1" customWidth="1"/>
    <col min="6" max="6" width="5.875" style="1" bestFit="1" customWidth="1"/>
    <col min="7" max="7" width="20.75" style="1" hidden="1" customWidth="1"/>
    <col min="8" max="8" width="9.375" style="1" hidden="1" customWidth="1"/>
    <col min="9" max="9" width="9.125" style="1" hidden="1" customWidth="1"/>
    <col min="10" max="10" width="20.625" style="1" hidden="1" customWidth="1"/>
    <col min="11" max="11" width="9.375" style="1" hidden="1" customWidth="1"/>
    <col min="12" max="12" width="6.625" style="1" hidden="1" customWidth="1"/>
    <col min="13" max="13" width="7.375" style="1" customWidth="1"/>
    <col min="14" max="14" width="5" style="1" customWidth="1"/>
    <col min="15" max="15" width="6.625" style="1" customWidth="1"/>
    <col min="16" max="16" width="7.375" style="1" customWidth="1"/>
    <col min="17" max="16384" width="9" style="1"/>
  </cols>
  <sheetData>
    <row r="1" spans="1:11" s="3" customFormat="1" ht="19.5" x14ac:dyDescent="0.15">
      <c r="A1" s="2" t="s">
        <v>149</v>
      </c>
    </row>
    <row r="2" spans="1:11" x14ac:dyDescent="0.15">
      <c r="A2" s="4"/>
      <c r="G2" s="55" t="s">
        <v>63</v>
      </c>
    </row>
    <row r="3" spans="1:11" s="3" customFormat="1" ht="20.25" thickBot="1" x14ac:dyDescent="0.2">
      <c r="A3" s="4" t="s">
        <v>13</v>
      </c>
      <c r="G3" s="383" t="s">
        <v>281</v>
      </c>
      <c r="H3" s="480" t="s">
        <v>0</v>
      </c>
      <c r="I3" s="1"/>
      <c r="J3" s="1"/>
    </row>
    <row r="4" spans="1:11" ht="20.25" thickTop="1" thickBot="1" x14ac:dyDescent="0.2">
      <c r="A4" s="310"/>
      <c r="B4" s="310" t="s">
        <v>0</v>
      </c>
      <c r="C4" s="310" t="s">
        <v>1</v>
      </c>
      <c r="G4" s="417" t="s">
        <v>373</v>
      </c>
      <c r="H4" s="139" t="s">
        <v>612</v>
      </c>
      <c r="J4" s="36"/>
    </row>
    <row r="5" spans="1:11" ht="19.5" thickTop="1" x14ac:dyDescent="0.15">
      <c r="A5" s="294" t="s">
        <v>14</v>
      </c>
      <c r="B5" s="258">
        <f>IFERROR(VLOOKUP("措置入院",入院形態＿1年以上[#All],2,FALSE),0)+IFERROR(VLOOKUP("緊急措置入院",入院形態＿1年以上[#All],2,FALSE),0)</f>
        <v>3</v>
      </c>
      <c r="C5" s="296">
        <f>IFERROR(B5/B$10,"-")</f>
        <v>3.4230944774075767E-4</v>
      </c>
      <c r="G5" s="39" t="s">
        <v>16</v>
      </c>
      <c r="H5" s="40">
        <v>4052</v>
      </c>
      <c r="J5" s="41"/>
    </row>
    <row r="6" spans="1:11" x14ac:dyDescent="0.15">
      <c r="A6" s="294" t="s">
        <v>15</v>
      </c>
      <c r="B6" s="258">
        <f>IFERROR(VLOOKUP(A6,入院形態＿1年以上[#All],2,FALSE),0)</f>
        <v>4690</v>
      </c>
      <c r="C6" s="296">
        <f t="shared" ref="C6:C9" si="0">IFERROR(B6/B$10,"-")</f>
        <v>0.53514376996805113</v>
      </c>
      <c r="G6" s="39" t="s">
        <v>613</v>
      </c>
      <c r="H6" s="40">
        <v>3</v>
      </c>
      <c r="J6" s="41"/>
    </row>
    <row r="7" spans="1:11" x14ac:dyDescent="0.15">
      <c r="A7" s="294" t="s">
        <v>16</v>
      </c>
      <c r="B7" s="258">
        <f>IFERROR(VLOOKUP(A7,入院形態＿1年以上[#All],2,FALSE),0)</f>
        <v>4052</v>
      </c>
      <c r="C7" s="296">
        <f t="shared" si="0"/>
        <v>0.46234596074851664</v>
      </c>
      <c r="G7" s="39" t="s">
        <v>614</v>
      </c>
      <c r="H7" s="40">
        <v>0</v>
      </c>
      <c r="J7" s="41"/>
    </row>
    <row r="8" spans="1:11" x14ac:dyDescent="0.15">
      <c r="A8" s="294" t="s">
        <v>17</v>
      </c>
      <c r="B8" s="258">
        <f>IFERROR(VLOOKUP(A8,入院形態＿1年以上[#All],2,FALSE),0)</f>
        <v>0</v>
      </c>
      <c r="C8" s="296">
        <f t="shared" si="0"/>
        <v>0</v>
      </c>
      <c r="G8" s="39" t="s">
        <v>17</v>
      </c>
      <c r="H8" s="40">
        <v>0</v>
      </c>
      <c r="J8" s="41"/>
    </row>
    <row r="9" spans="1:11" x14ac:dyDescent="0.15">
      <c r="A9" s="294" t="s">
        <v>18</v>
      </c>
      <c r="B9" s="258">
        <f>IFERROR(VLOOKUP("鑑定入院",入院形態＿1年以上[#All],2,FALSE),0)+IFERROR(VLOOKUP("医療観察法による入院",入院形態＿1年以上[#All],2,FALSE),0)+IFERROR(VLOOKUP("不明",入院形態＿1年以上[#All],2,FALSE),0)</f>
        <v>19</v>
      </c>
      <c r="C9" s="296">
        <f t="shared" si="0"/>
        <v>2.1679598356914649E-3</v>
      </c>
      <c r="G9" s="39" t="s">
        <v>15</v>
      </c>
      <c r="H9" s="40">
        <v>4690</v>
      </c>
    </row>
    <row r="10" spans="1:11" x14ac:dyDescent="0.15">
      <c r="A10" s="312" t="s">
        <v>11</v>
      </c>
      <c r="B10" s="313">
        <f>SUM(B5:B9)</f>
        <v>8764</v>
      </c>
      <c r="C10" s="314">
        <f>SUM(C5:C9)</f>
        <v>1</v>
      </c>
      <c r="G10" s="42" t="s">
        <v>615</v>
      </c>
      <c r="H10" s="40">
        <v>19</v>
      </c>
    </row>
    <row r="11" spans="1:11" x14ac:dyDescent="0.15">
      <c r="A11" s="37"/>
      <c r="B11" s="43"/>
      <c r="C11" s="44"/>
      <c r="G11" s="42" t="s">
        <v>374</v>
      </c>
      <c r="H11" s="40">
        <v>0</v>
      </c>
    </row>
    <row r="12" spans="1:11" x14ac:dyDescent="0.15">
      <c r="A12" s="37"/>
      <c r="B12" s="43"/>
      <c r="C12" s="44"/>
      <c r="G12" s="39" t="s">
        <v>375</v>
      </c>
      <c r="H12" s="40">
        <v>0</v>
      </c>
    </row>
    <row r="13" spans="1:11" x14ac:dyDescent="0.15">
      <c r="A13" s="37"/>
      <c r="B13" s="43"/>
      <c r="C13" s="44"/>
      <c r="G13" s="42"/>
      <c r="H13" s="382"/>
    </row>
    <row r="14" spans="1:11" s="3" customFormat="1" ht="19.5" x14ac:dyDescent="0.15">
      <c r="A14" s="4" t="s">
        <v>150</v>
      </c>
      <c r="G14" s="42"/>
      <c r="H14" s="382"/>
      <c r="I14" s="1"/>
      <c r="J14" s="1"/>
      <c r="K14" s="1"/>
    </row>
    <row r="15" spans="1:11" ht="19.5" thickBot="1" x14ac:dyDescent="0.2">
      <c r="A15" s="310"/>
      <c r="B15" s="310" t="s">
        <v>151</v>
      </c>
      <c r="C15" s="310" t="s">
        <v>152</v>
      </c>
      <c r="D15" s="310" t="s">
        <v>12</v>
      </c>
      <c r="E15" s="310" t="s">
        <v>1</v>
      </c>
      <c r="G15" s="482" t="s">
        <v>281</v>
      </c>
      <c r="H15" s="480" t="s">
        <v>28</v>
      </c>
      <c r="J15" s="482" t="s">
        <v>281</v>
      </c>
      <c r="K15" s="480" t="s">
        <v>282</v>
      </c>
    </row>
    <row r="16" spans="1:11" ht="21" thickTop="1" thickBot="1" x14ac:dyDescent="0.2">
      <c r="A16" s="294" t="s">
        <v>14</v>
      </c>
      <c r="B16" s="256">
        <f>IFERROR(VLOOKUP("措置入院",入院形態＿1年以上＿寛解[#All],2,FALSE),0)+IFERROR(VLOOKUP("緊急措置入院",入院形態＿1年以上＿寛解[#All],2,FALSE),0)</f>
        <v>0</v>
      </c>
      <c r="C16" s="256">
        <f>IFERROR(VLOOKUP("措置入院",入院形態＿1年以上＿院内寛解[#All],2,FALSE),0)+IFERROR(VLOOKUP("緊急措置入院",入院形態＿1年以上＿院内寛解[#All],2,FALSE),0)</f>
        <v>0</v>
      </c>
      <c r="D16" s="256">
        <f>SUM(B16:C16)</f>
        <v>0</v>
      </c>
      <c r="E16" s="296">
        <f>IFERROR(D16/D$21,"-")</f>
        <v>0</v>
      </c>
      <c r="G16" s="417" t="s">
        <v>373</v>
      </c>
      <c r="H16" s="139" t="s">
        <v>612</v>
      </c>
      <c r="I16" s="3"/>
      <c r="J16" s="417" t="s">
        <v>373</v>
      </c>
      <c r="K16" s="139" t="s">
        <v>612</v>
      </c>
    </row>
    <row r="17" spans="1:11" ht="19.5" thickTop="1" x14ac:dyDescent="0.15">
      <c r="A17" s="294" t="s">
        <v>15</v>
      </c>
      <c r="B17" s="256">
        <f>IFERROR(VLOOKUP($A17,入院形態＿1年以上＿寛解[#All],2,FALSE),0)</f>
        <v>19</v>
      </c>
      <c r="C17" s="256">
        <f>IFERROR(VLOOKUP($A17,入院形態＿1年以上＿院内寛解[#All],2,FALSE),0)</f>
        <v>112</v>
      </c>
      <c r="D17" s="256">
        <f t="shared" ref="D17:D20" si="1">SUM(B17:C17)</f>
        <v>131</v>
      </c>
      <c r="E17" s="296">
        <f t="shared" ref="E17:E20" si="2">IFERROR(D17/D$21,"-")</f>
        <v>0.25143953934740881</v>
      </c>
      <c r="G17" s="39" t="s">
        <v>16</v>
      </c>
      <c r="H17" s="40">
        <v>44</v>
      </c>
      <c r="J17" s="39" t="s">
        <v>16</v>
      </c>
      <c r="K17" s="40">
        <v>345</v>
      </c>
    </row>
    <row r="18" spans="1:11" x14ac:dyDescent="0.15">
      <c r="A18" s="294" t="s">
        <v>16</v>
      </c>
      <c r="B18" s="256">
        <f>IFERROR(VLOOKUP($A18,入院形態＿1年以上＿寛解[#All],2,FALSE),0)</f>
        <v>44</v>
      </c>
      <c r="C18" s="256">
        <f>IFERROR(VLOOKUP($A18,入院形態＿1年以上＿院内寛解[#All],2,FALSE),0)</f>
        <v>345</v>
      </c>
      <c r="D18" s="256">
        <f t="shared" si="1"/>
        <v>389</v>
      </c>
      <c r="E18" s="296">
        <f t="shared" si="2"/>
        <v>0.74664107485604603</v>
      </c>
      <c r="G18" s="39" t="s">
        <v>613</v>
      </c>
      <c r="H18" s="47">
        <v>0</v>
      </c>
      <c r="I18" s="21"/>
      <c r="J18" s="39" t="s">
        <v>613</v>
      </c>
      <c r="K18" s="47">
        <v>0</v>
      </c>
    </row>
    <row r="19" spans="1:11" x14ac:dyDescent="0.15">
      <c r="A19" s="294" t="s">
        <v>17</v>
      </c>
      <c r="B19" s="256">
        <f>IFERROR(VLOOKUP($A19,入院形態＿1年以上＿寛解[#All],2,FALSE),0)</f>
        <v>0</v>
      </c>
      <c r="C19" s="256">
        <f>IFERROR(VLOOKUP($A19,入院形態＿1年以上＿院内寛解[#All],2,FALSE),0)</f>
        <v>0</v>
      </c>
      <c r="D19" s="256">
        <f t="shared" si="1"/>
        <v>0</v>
      </c>
      <c r="E19" s="296">
        <f t="shared" si="2"/>
        <v>0</v>
      </c>
      <c r="G19" s="39" t="s">
        <v>614</v>
      </c>
      <c r="H19" s="47">
        <v>0</v>
      </c>
      <c r="I19" s="21"/>
      <c r="J19" s="39" t="s">
        <v>614</v>
      </c>
      <c r="K19" s="47">
        <v>0</v>
      </c>
    </row>
    <row r="20" spans="1:11" x14ac:dyDescent="0.15">
      <c r="A20" s="294" t="s">
        <v>18</v>
      </c>
      <c r="B20" s="256">
        <f>IFERROR(VLOOKUP("鑑定入院",入院形態＿1年以上＿寛解[#All],2,FALSE),0)+IFERROR(VLOOKUP("医療観察法による入院",入院形態＿1年以上＿寛解[#All],2,FALSE),0)+IFERROR(VLOOKUP("不明",入院形態＿1年以上＿寛解[#All],2,FALSE),0)</f>
        <v>0</v>
      </c>
      <c r="C20" s="256">
        <f>IFERROR(VLOOKUP("鑑定入院",入院形態＿1年以上＿院内寛解[#All],2,FALSE),0)+IFERROR(VLOOKUP("医療観察法による入院",入院形態＿1年以上＿院内寛解[#All],2,FALSE),0)+IFERROR(VLOOKUP("不明",入院形態＿1年以上＿院内寛解[#All],2,FALSE),0)+IFERROR(VLOOKUP("不明",入院形態＿1年以上＿院内寛解[#All],2,FALSE),0)</f>
        <v>1</v>
      </c>
      <c r="D20" s="256">
        <f t="shared" si="1"/>
        <v>1</v>
      </c>
      <c r="E20" s="296">
        <f t="shared" si="2"/>
        <v>1.9193857965451055E-3</v>
      </c>
      <c r="G20" s="39" t="s">
        <v>17</v>
      </c>
      <c r="H20" s="47">
        <v>0</v>
      </c>
      <c r="I20" s="21"/>
      <c r="J20" s="39" t="s">
        <v>17</v>
      </c>
      <c r="K20" s="47">
        <v>0</v>
      </c>
    </row>
    <row r="21" spans="1:11" x14ac:dyDescent="0.15">
      <c r="A21" s="312" t="s">
        <v>11</v>
      </c>
      <c r="B21" s="313">
        <f>SUM(B16:B20)</f>
        <v>63</v>
      </c>
      <c r="C21" s="313">
        <f>SUM(C16:C20)</f>
        <v>458</v>
      </c>
      <c r="D21" s="313">
        <f>SUM(D16:D20)</f>
        <v>521</v>
      </c>
      <c r="E21" s="314">
        <f>SUM(E16:E20)</f>
        <v>1</v>
      </c>
      <c r="G21" s="39" t="s">
        <v>15</v>
      </c>
      <c r="H21" s="47">
        <v>19</v>
      </c>
      <c r="I21" s="21"/>
      <c r="J21" s="39" t="s">
        <v>15</v>
      </c>
      <c r="K21" s="47">
        <v>112</v>
      </c>
    </row>
    <row r="22" spans="1:11" x14ac:dyDescent="0.15">
      <c r="G22" s="42" t="s">
        <v>615</v>
      </c>
      <c r="H22" s="47">
        <v>0</v>
      </c>
      <c r="J22" s="42" t="s">
        <v>615</v>
      </c>
      <c r="K22" s="47">
        <v>1</v>
      </c>
    </row>
    <row r="23" spans="1:11" x14ac:dyDescent="0.15">
      <c r="G23" s="42" t="s">
        <v>374</v>
      </c>
      <c r="H23" s="47">
        <v>0</v>
      </c>
      <c r="J23" s="42" t="s">
        <v>374</v>
      </c>
      <c r="K23" s="47">
        <v>0</v>
      </c>
    </row>
    <row r="24" spans="1:11" x14ac:dyDescent="0.15">
      <c r="G24" s="39" t="s">
        <v>375</v>
      </c>
      <c r="H24" s="47">
        <v>0</v>
      </c>
      <c r="J24" s="39" t="s">
        <v>375</v>
      </c>
      <c r="K24" s="47">
        <v>0</v>
      </c>
    </row>
    <row r="25" spans="1:11" x14ac:dyDescent="0.15">
      <c r="G25" s="21"/>
      <c r="H25" s="21"/>
      <c r="I25" s="21"/>
      <c r="J25" s="21"/>
    </row>
    <row r="26" spans="1:11" x14ac:dyDescent="0.15">
      <c r="G26" s="21"/>
      <c r="H26" s="21"/>
      <c r="I26" s="21"/>
      <c r="J26" s="21"/>
    </row>
    <row r="27" spans="1:11" x14ac:dyDescent="0.15">
      <c r="G27" s="21"/>
      <c r="H27" s="21"/>
      <c r="I27" s="21"/>
      <c r="J27" s="21"/>
    </row>
    <row r="28" spans="1:11" x14ac:dyDescent="0.15">
      <c r="G28" s="21"/>
      <c r="H28" s="21"/>
      <c r="I28" s="21"/>
      <c r="J28" s="21"/>
    </row>
    <row r="29" spans="1:11" x14ac:dyDescent="0.15">
      <c r="G29" s="21"/>
      <c r="H29" s="21"/>
      <c r="I29" s="21"/>
      <c r="J29" s="21"/>
    </row>
    <row r="30" spans="1:11" x14ac:dyDescent="0.15">
      <c r="G30" s="21"/>
      <c r="H30" s="21"/>
      <c r="I30" s="21"/>
      <c r="J30" s="21"/>
    </row>
    <row r="31" spans="1:11" x14ac:dyDescent="0.15">
      <c r="G31" s="21"/>
      <c r="H31" s="21"/>
      <c r="I31" s="21"/>
      <c r="J31" s="21"/>
    </row>
    <row r="32" spans="1:11" x14ac:dyDescent="0.15">
      <c r="G32" s="21"/>
      <c r="H32" s="21"/>
      <c r="I32" s="21"/>
      <c r="J32" s="21"/>
    </row>
    <row r="33" spans="7:10" x14ac:dyDescent="0.15">
      <c r="G33" s="21"/>
      <c r="H33" s="21"/>
      <c r="I33" s="21"/>
      <c r="J33" s="21"/>
    </row>
    <row r="34" spans="7:10" x14ac:dyDescent="0.15">
      <c r="G34" s="21"/>
      <c r="H34" s="21"/>
      <c r="I34" s="21"/>
      <c r="J34" s="21"/>
    </row>
    <row r="35" spans="7:10" x14ac:dyDescent="0.15">
      <c r="G35" s="21"/>
      <c r="H35" s="21"/>
      <c r="I35" s="21"/>
      <c r="J35" s="21"/>
    </row>
    <row r="36" spans="7:10" x14ac:dyDescent="0.15">
      <c r="G36" s="21"/>
      <c r="H36" s="21"/>
      <c r="I36" s="21"/>
      <c r="J36" s="21"/>
    </row>
    <row r="37" spans="7:10" x14ac:dyDescent="0.15">
      <c r="G37" s="21"/>
      <c r="H37" s="21"/>
      <c r="I37" s="21"/>
      <c r="J37" s="21"/>
    </row>
    <row r="38" spans="7:10" x14ac:dyDescent="0.15">
      <c r="G38" s="21"/>
      <c r="H38" s="21"/>
      <c r="I38" s="21"/>
      <c r="J38" s="21"/>
    </row>
    <row r="39" spans="7:10" x14ac:dyDescent="0.15">
      <c r="G39" s="21"/>
      <c r="H39" s="21"/>
      <c r="I39" s="21"/>
      <c r="J39" s="21"/>
    </row>
    <row r="40" spans="7:10" x14ac:dyDescent="0.15">
      <c r="G40" s="21"/>
      <c r="H40" s="21"/>
      <c r="I40" s="21"/>
      <c r="J40" s="21"/>
    </row>
  </sheetData>
  <phoneticPr fontId="2"/>
  <pageMargins left="0.70866141732283472" right="0.70866141732283472" top="0.74803149606299213" bottom="0.74803149606299213" header="0.31496062992125984" footer="0.31496062992125984"/>
  <pageSetup paperSize="11" scale="8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Button 1">
              <controlPr defaultSize="0" print="0" autoFill="0" autoPict="0" macro="[0]!データ削除_入院形態_1年以上">
                <anchor moveWithCells="1" sizeWithCells="1">
                  <from>
                    <xdr:col>9</xdr:col>
                    <xdr:colOff>885825</xdr:colOff>
                    <xdr:row>3</xdr:row>
                    <xdr:rowOff>47625</xdr:rowOff>
                  </from>
                  <to>
                    <xdr:col>11</xdr:col>
                    <xdr:colOff>342900</xdr:colOff>
                    <xdr:row>5</xdr:row>
                    <xdr:rowOff>95250</xdr:rowOff>
                  </to>
                </anchor>
              </controlPr>
            </control>
          </mc:Choice>
        </mc:AlternateContent>
      </controls>
    </mc:Choice>
  </mc:AlternateContent>
  <tableParts count="3">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47</vt:i4>
      </vt:variant>
      <vt:variant>
        <vt:lpstr>名前付き一覧</vt:lpstr>
      </vt:variant>
      <vt:variant>
        <vt:i4>47</vt:i4>
      </vt:variant>
    </vt:vector>
  </HeadingPairs>
  <TitlesOfParts>
    <vt:vector size="94" baseType="lpstr">
      <vt:lpstr>巻末資料表紙</vt:lpstr>
      <vt:lpstr>2-Ⅰ</vt:lpstr>
      <vt:lpstr>２-Ⅱ</vt:lpstr>
      <vt:lpstr>２-Ⅲ</vt:lpstr>
      <vt:lpstr>２-Ⅳ</vt:lpstr>
      <vt:lpstr>２-Ⅴ</vt:lpstr>
      <vt:lpstr>２-Ⅵ</vt:lpstr>
      <vt:lpstr>３-Ⅰ</vt:lpstr>
      <vt:lpstr>３-Ⅱ</vt:lpstr>
      <vt:lpstr>３-Ⅲ</vt:lpstr>
      <vt:lpstr>３-Ⅳ</vt:lpstr>
      <vt:lpstr>３-Ⅴ</vt:lpstr>
      <vt:lpstr>４-Ⅰ</vt:lpstr>
      <vt:lpstr>４-Ⅱ</vt:lpstr>
      <vt:lpstr>４-Ⅲ</vt:lpstr>
      <vt:lpstr>４-Ⅳ</vt:lpstr>
      <vt:lpstr>４-Ⅴ</vt:lpstr>
      <vt:lpstr>４-Ⅵ</vt:lpstr>
      <vt:lpstr>5-Ⅰ①</vt:lpstr>
      <vt:lpstr>５-Ⅰ②</vt:lpstr>
      <vt:lpstr>５-Ⅰ③</vt:lpstr>
      <vt:lpstr>５-Ⅱ①</vt:lpstr>
      <vt:lpstr>５-Ⅱ②</vt:lpstr>
      <vt:lpstr>５-Ⅱ③</vt:lpstr>
      <vt:lpstr>５-Ⅱ④</vt:lpstr>
      <vt:lpstr>6-Ⅰ①</vt:lpstr>
      <vt:lpstr>6-Ⅰ②</vt:lpstr>
      <vt:lpstr>6-Ⅰ③</vt:lpstr>
      <vt:lpstr>6-Ⅰ④ </vt:lpstr>
      <vt:lpstr>6-Ⅰ⑤</vt:lpstr>
      <vt:lpstr>6-Ⅰ⑥ </vt:lpstr>
      <vt:lpstr>6-Ⅱ①</vt:lpstr>
      <vt:lpstr>6-Ⅱ②</vt:lpstr>
      <vt:lpstr>6-Ⅱ③</vt:lpstr>
      <vt:lpstr>6-Ⅱ④</vt:lpstr>
      <vt:lpstr>6-Ⅱ⑤</vt:lpstr>
      <vt:lpstr>6-Ⅱ⑥</vt:lpstr>
      <vt:lpstr>6-Ⅲ</vt:lpstr>
      <vt:lpstr>6-Ⅳ</vt:lpstr>
      <vt:lpstr>一覧表</vt:lpstr>
      <vt:lpstr>グラフ(年齢区分）</vt:lpstr>
      <vt:lpstr>グラフ(疾患名)</vt:lpstr>
      <vt:lpstr>グラフ(在院期間) </vt:lpstr>
      <vt:lpstr>グラフ(在院期間)  (2)</vt:lpstr>
      <vt:lpstr>グラフ(退院阻害要因＿１) </vt:lpstr>
      <vt:lpstr>グラフ(退院阻害要因＿２）</vt:lpstr>
      <vt:lpstr>グラフ(退院阻害要因＿２(寛解・院内寛解)</vt:lpstr>
      <vt:lpstr>'2-Ⅰ'!Print_Area</vt:lpstr>
      <vt:lpstr>'２-Ⅱ'!Print_Area</vt:lpstr>
      <vt:lpstr>'２-Ⅲ'!Print_Area</vt:lpstr>
      <vt:lpstr>'２-Ⅳ'!Print_Area</vt:lpstr>
      <vt:lpstr>'２-Ⅴ'!Print_Area</vt:lpstr>
      <vt:lpstr>'２-Ⅵ'!Print_Area</vt:lpstr>
      <vt:lpstr>'３-Ⅰ'!Print_Area</vt:lpstr>
      <vt:lpstr>'３-Ⅱ'!Print_Area</vt:lpstr>
      <vt:lpstr>'３-Ⅲ'!Print_Area</vt:lpstr>
      <vt:lpstr>'３-Ⅳ'!Print_Area</vt:lpstr>
      <vt:lpstr>'３-Ⅴ'!Print_Area</vt:lpstr>
      <vt:lpstr>'４-Ⅰ'!Print_Area</vt:lpstr>
      <vt:lpstr>'４-Ⅱ'!Print_Area</vt:lpstr>
      <vt:lpstr>'４-Ⅲ'!Print_Area</vt:lpstr>
      <vt:lpstr>'４-Ⅳ'!Print_Area</vt:lpstr>
      <vt:lpstr>'４-Ⅴ'!Print_Area</vt:lpstr>
      <vt:lpstr>'４-Ⅵ'!Print_Area</vt:lpstr>
      <vt:lpstr>'5-Ⅰ①'!Print_Area</vt:lpstr>
      <vt:lpstr>'５-Ⅰ②'!Print_Area</vt:lpstr>
      <vt:lpstr>'５-Ⅰ③'!Print_Area</vt:lpstr>
      <vt:lpstr>'５-Ⅱ①'!Print_Area</vt:lpstr>
      <vt:lpstr>'５-Ⅱ②'!Print_Area</vt:lpstr>
      <vt:lpstr>'５-Ⅱ③'!Print_Area</vt:lpstr>
      <vt:lpstr>'５-Ⅱ④'!Print_Area</vt:lpstr>
      <vt:lpstr>'6-Ⅰ①'!Print_Area</vt:lpstr>
      <vt:lpstr>'6-Ⅰ②'!Print_Area</vt:lpstr>
      <vt:lpstr>'6-Ⅰ③'!Print_Area</vt:lpstr>
      <vt:lpstr>'6-Ⅰ④ '!Print_Area</vt:lpstr>
      <vt:lpstr>'6-Ⅰ⑤'!Print_Area</vt:lpstr>
      <vt:lpstr>'6-Ⅰ⑥ '!Print_Area</vt:lpstr>
      <vt:lpstr>'6-Ⅱ①'!Print_Area</vt:lpstr>
      <vt:lpstr>'6-Ⅱ②'!Print_Area</vt:lpstr>
      <vt:lpstr>'6-Ⅱ③'!Print_Area</vt:lpstr>
      <vt:lpstr>'6-Ⅱ④'!Print_Area</vt:lpstr>
      <vt:lpstr>'6-Ⅱ⑤'!Print_Area</vt:lpstr>
      <vt:lpstr>'6-Ⅱ⑥'!Print_Area</vt:lpstr>
      <vt:lpstr>'6-Ⅲ'!Print_Area</vt:lpstr>
      <vt:lpstr>'6-Ⅳ'!Print_Area</vt:lpstr>
      <vt:lpstr>'グラフ(在院期間) '!Print_Area</vt:lpstr>
      <vt:lpstr>'グラフ(在院期間)  (2)'!Print_Area</vt:lpstr>
      <vt:lpstr>'グラフ(疾患名)'!Print_Area</vt:lpstr>
      <vt:lpstr>'グラフ(退院阻害要因＿１) '!Print_Area</vt:lpstr>
      <vt:lpstr>'グラフ(退院阻害要因＿２(寛解・院内寛解)'!Print_Area</vt:lpstr>
      <vt:lpstr>'グラフ(退院阻害要因＿２）'!Print_Area</vt:lpstr>
      <vt:lpstr>'グラフ(年齢区分）'!Print_Area</vt:lpstr>
      <vt:lpstr>一覧表!Print_Area</vt:lpstr>
      <vt:lpstr>巻末資料表紙!Print_Area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2023-10-11T07:58:12Z</cp:lastPrinted>
  <dcterms:created xsi:type="dcterms:W3CDTF">2016-04-12T05:01:29Z</dcterms:created>
  <dcterms:modified xsi:type="dcterms:W3CDTF">2023-10-17T10:32:33Z</dcterms:modified>
</cp:coreProperties>
</file>