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70" tabRatio="594"/>
  </bookViews>
  <sheets>
    <sheet name="手順の整理" sheetId="35" r:id="rId1"/>
    <sheet name="①現在の見込と実績の乖離" sheetId="27" r:id="rId2"/>
    <sheet name="②児童人口の将来推計" sheetId="36" r:id="rId3"/>
    <sheet name="③代替養育を必要とする子ども数の見込み" sheetId="34" r:id="rId4"/>
    <sheet name="【参考】データa～ｆ" sheetId="28" r:id="rId5"/>
  </sheets>
  <definedNames>
    <definedName name="_xlnm.Print_Area" localSheetId="1">①現在の見込と実績の乖離!$A$1:$S$31</definedName>
    <definedName name="_xlnm.Print_Area" localSheetId="2">②児童人口の将来推計!$A$1:$M$37</definedName>
    <definedName name="_xlnm.Print_Area" localSheetId="3">③代替養育を必要とする子ども数の見込み!$A$1:$M$41</definedName>
  </definedNames>
  <calcPr calcId="145621"/>
</workbook>
</file>

<file path=xl/calcChain.xml><?xml version="1.0" encoding="utf-8"?>
<calcChain xmlns="http://schemas.openxmlformats.org/spreadsheetml/2006/main">
  <c r="H31" i="34" l="1"/>
  <c r="H32" i="34"/>
  <c r="H33" i="34"/>
  <c r="H34" i="34"/>
  <c r="H35" i="34"/>
  <c r="H36" i="34"/>
  <c r="H37" i="34"/>
  <c r="H38" i="34"/>
  <c r="H39" i="34"/>
  <c r="H40" i="34"/>
  <c r="H41" i="34"/>
  <c r="G31" i="34"/>
  <c r="G32" i="34"/>
  <c r="G33" i="34"/>
  <c r="G34" i="34"/>
  <c r="G35" i="34"/>
  <c r="G36" i="34"/>
  <c r="G37" i="34"/>
  <c r="G38" i="34"/>
  <c r="G39" i="34"/>
  <c r="G40" i="34"/>
  <c r="G41" i="34"/>
  <c r="F31" i="34"/>
  <c r="F32" i="34"/>
  <c r="F33" i="34"/>
  <c r="F34" i="34"/>
  <c r="F35" i="34"/>
  <c r="F36" i="34"/>
  <c r="F37" i="34"/>
  <c r="F38" i="34"/>
  <c r="F39" i="34"/>
  <c r="F40" i="34"/>
  <c r="F41" i="34"/>
  <c r="H30" i="34"/>
  <c r="G30" i="34"/>
  <c r="F30" i="34"/>
  <c r="E31" i="34" l="1"/>
  <c r="I31" i="34" s="1"/>
  <c r="E32" i="34"/>
  <c r="I32" i="34" s="1"/>
  <c r="E33" i="34"/>
  <c r="I33" i="34" s="1"/>
  <c r="E34" i="34"/>
  <c r="I34" i="34" s="1"/>
  <c r="E35" i="34"/>
  <c r="I35" i="34" s="1"/>
  <c r="E36" i="34"/>
  <c r="I36" i="34" s="1"/>
  <c r="E37" i="34"/>
  <c r="I37" i="34" s="1"/>
  <c r="E38" i="34"/>
  <c r="I38" i="34" s="1"/>
  <c r="E39" i="34"/>
  <c r="I39" i="34" s="1"/>
  <c r="E40" i="34"/>
  <c r="I40" i="34" s="1"/>
  <c r="E41" i="34"/>
  <c r="I41" i="34" s="1"/>
  <c r="E30" i="34"/>
  <c r="I30" i="34" s="1"/>
  <c r="E36" i="36"/>
  <c r="I36" i="36" s="1"/>
  <c r="I35" i="36"/>
  <c r="H35" i="36" s="1"/>
  <c r="E35" i="36"/>
  <c r="E34" i="36"/>
  <c r="I34" i="36" s="1"/>
  <c r="E33" i="36"/>
  <c r="I33" i="36" s="1"/>
  <c r="I32" i="36"/>
  <c r="G32" i="36" s="1"/>
  <c r="H32" i="36"/>
  <c r="E32" i="36"/>
  <c r="E31" i="36"/>
  <c r="I31" i="36" s="1"/>
  <c r="E30" i="36"/>
  <c r="I30" i="36" s="1"/>
  <c r="E29" i="36"/>
  <c r="I29" i="36" s="1"/>
  <c r="E28" i="36"/>
  <c r="I28" i="36" s="1"/>
  <c r="E27" i="36"/>
  <c r="I27" i="36" s="1"/>
  <c r="E26" i="36"/>
  <c r="I26" i="36" s="1"/>
  <c r="E25" i="36"/>
  <c r="I25" i="36" s="1"/>
  <c r="H26" i="36" l="1"/>
  <c r="G26" i="36"/>
  <c r="F26" i="36"/>
  <c r="H27" i="36"/>
  <c r="G27" i="36"/>
  <c r="F27" i="36"/>
  <c r="H31" i="36"/>
  <c r="G31" i="36"/>
  <c r="F31" i="36"/>
  <c r="G28" i="36"/>
  <c r="H28" i="36"/>
  <c r="F28" i="36"/>
  <c r="H34" i="36"/>
  <c r="G34" i="36"/>
  <c r="F34" i="36"/>
  <c r="F25" i="36"/>
  <c r="H25" i="36"/>
  <c r="G25" i="36"/>
  <c r="F29" i="36"/>
  <c r="H29" i="36"/>
  <c r="G29" i="36"/>
  <c r="H30" i="36"/>
  <c r="G30" i="36"/>
  <c r="F30" i="36"/>
  <c r="F33" i="36"/>
  <c r="H33" i="36"/>
  <c r="G33" i="36"/>
  <c r="G36" i="36"/>
  <c r="F36" i="36"/>
  <c r="H36" i="36"/>
  <c r="F32" i="36"/>
  <c r="G35" i="36"/>
  <c r="F35" i="36"/>
  <c r="P30" i="27" l="1"/>
  <c r="O30" i="27"/>
  <c r="N30" i="27"/>
  <c r="M30" i="27"/>
  <c r="L30" i="27"/>
  <c r="K30" i="27"/>
  <c r="J30" i="27"/>
  <c r="I30" i="27"/>
  <c r="H30" i="27"/>
  <c r="G30" i="27"/>
  <c r="F30" i="27"/>
  <c r="E30" i="27"/>
  <c r="E34" i="28" l="1"/>
  <c r="D34" i="28"/>
  <c r="C8" i="28"/>
  <c r="D8" i="28"/>
  <c r="E8" i="28"/>
  <c r="F8" i="28"/>
  <c r="G8" i="28"/>
  <c r="H8" i="28"/>
  <c r="E28" i="28" l="1"/>
  <c r="F28" i="28"/>
  <c r="G28" i="28"/>
  <c r="H28" i="28"/>
  <c r="D28" i="28"/>
  <c r="D22" i="28"/>
  <c r="F22" i="28"/>
  <c r="G22" i="28"/>
  <c r="H22" i="28"/>
  <c r="E22" i="28"/>
  <c r="E16" i="28"/>
  <c r="F16" i="28"/>
  <c r="G16" i="28"/>
  <c r="H16" i="28"/>
  <c r="D16" i="28"/>
  <c r="AE15" i="27" l="1"/>
  <c r="AF15" i="27"/>
  <c r="AG15" i="27"/>
  <c r="AH15" i="27"/>
  <c r="AI15" i="27"/>
  <c r="AJ15" i="27"/>
  <c r="AK15" i="27"/>
  <c r="AL15" i="27"/>
  <c r="X27" i="27"/>
  <c r="Y27" i="27"/>
  <c r="Z27" i="27"/>
  <c r="AA27" i="27"/>
  <c r="AB27" i="27"/>
  <c r="AC27" i="27"/>
  <c r="AD27" i="27"/>
  <c r="AL27" i="27"/>
  <c r="X28" i="27"/>
  <c r="Y28" i="27"/>
  <c r="Z28" i="27"/>
  <c r="AA28" i="27"/>
  <c r="AB28" i="27"/>
  <c r="AC28" i="27"/>
  <c r="AD28" i="27"/>
  <c r="AE28" i="27"/>
  <c r="AF28" i="27"/>
  <c r="AG28" i="27"/>
  <c r="AH28" i="27"/>
  <c r="AI28" i="27"/>
  <c r="AJ28" i="27"/>
  <c r="AK28" i="27"/>
  <c r="X29" i="27"/>
  <c r="X37" i="27"/>
  <c r="Y37" i="27"/>
  <c r="Z37" i="27"/>
  <c r="AA37" i="27"/>
  <c r="AB37" i="27"/>
  <c r="AC37" i="27"/>
  <c r="AD37" i="27"/>
  <c r="AE37" i="27"/>
  <c r="AF37" i="27"/>
  <c r="AF38" i="27" s="1"/>
  <c r="AG37" i="27"/>
  <c r="AH37" i="27"/>
  <c r="AI37" i="27"/>
  <c r="AJ37" i="27"/>
  <c r="AJ38" i="27" s="1"/>
  <c r="AK37" i="27"/>
  <c r="X54" i="27"/>
  <c r="AA57" i="27" s="1"/>
  <c r="AL28" i="27" l="1"/>
  <c r="AM28" i="27" s="1"/>
  <c r="AN28" i="27" s="1"/>
  <c r="AO28" i="27" s="1"/>
  <c r="AP28" i="27" s="1"/>
  <c r="AQ28" i="27" s="1"/>
  <c r="AR28" i="27" s="1"/>
  <c r="AS28" i="27" s="1"/>
  <c r="AT28" i="27" s="1"/>
  <c r="AU28" i="27" s="1"/>
  <c r="AV28" i="27" s="1"/>
  <c r="AW28" i="27" s="1"/>
  <c r="AX28" i="27" s="1"/>
  <c r="AY28" i="27" s="1"/>
  <c r="AZ28" i="27" s="1"/>
  <c r="BA28" i="27" s="1"/>
  <c r="BB28" i="27" s="1"/>
  <c r="AI38" i="27"/>
  <c r="AE38" i="27"/>
  <c r="AA38" i="27"/>
  <c r="AH38" i="27"/>
  <c r="AD38" i="27"/>
  <c r="Z38" i="27"/>
  <c r="AD57" i="27"/>
  <c r="Z57" i="27"/>
  <c r="AC57" i="27"/>
  <c r="Y57" i="27"/>
  <c r="AB57" i="27"/>
  <c r="X57" i="27"/>
  <c r="AC38" i="27"/>
  <c r="Y38" i="27"/>
  <c r="AK38" i="27"/>
  <c r="AB38" i="27"/>
  <c r="AG38" i="27"/>
  <c r="H21" i="27"/>
  <c r="G21" i="27"/>
  <c r="F21" i="27"/>
  <c r="E21" i="27"/>
  <c r="K15" i="27"/>
  <c r="AD15" i="27" s="1"/>
  <c r="J15" i="27"/>
  <c r="AC15" i="27" s="1"/>
  <c r="I15" i="27"/>
  <c r="AB15" i="27" s="1"/>
  <c r="H15" i="27"/>
  <c r="AA15" i="27" s="1"/>
  <c r="G15" i="27"/>
  <c r="Z15" i="27" s="1"/>
  <c r="F15" i="27"/>
  <c r="Y15" i="27" s="1"/>
  <c r="E15" i="27"/>
  <c r="X39" i="27" l="1"/>
  <c r="AL37" i="27" s="1"/>
  <c r="AM37" i="27" s="1"/>
  <c r="AN37" i="27" s="1"/>
  <c r="AO37" i="27" s="1"/>
  <c r="AP37" i="27" s="1"/>
  <c r="AQ37" i="27" s="1"/>
  <c r="AR37" i="27" s="1"/>
  <c r="AS37" i="27" s="1"/>
  <c r="AT37" i="27" s="1"/>
  <c r="AU37" i="27" s="1"/>
  <c r="AV37" i="27" s="1"/>
  <c r="AW37" i="27" s="1"/>
  <c r="AX37" i="27" s="1"/>
  <c r="AY37" i="27" s="1"/>
  <c r="AZ37" i="27" s="1"/>
  <c r="BA37" i="27" s="1"/>
  <c r="BB37" i="27" s="1"/>
  <c r="X58" i="27"/>
  <c r="X15" i="27"/>
  <c r="Y16" i="27" s="1"/>
  <c r="AA34" i="27"/>
  <c r="AE34" i="27"/>
  <c r="AI34" i="27"/>
  <c r="AI35" i="27" s="1"/>
  <c r="X34" i="27"/>
  <c r="AF34" i="27"/>
  <c r="AC34" i="27"/>
  <c r="AK34" i="27"/>
  <c r="Z34" i="27"/>
  <c r="AD34" i="27"/>
  <c r="AH34" i="27"/>
  <c r="AB34" i="27"/>
  <c r="AB35" i="27" s="1"/>
  <c r="AJ34" i="27"/>
  <c r="Y34" i="27"/>
  <c r="AG34" i="27"/>
  <c r="F23" i="27"/>
  <c r="AN27" i="27"/>
  <c r="AR27" i="27"/>
  <c r="AV27" i="27"/>
  <c r="AZ27" i="27"/>
  <c r="AS27" i="27"/>
  <c r="AW27" i="27"/>
  <c r="BA27" i="27"/>
  <c r="H23" i="27"/>
  <c r="AP27" i="27"/>
  <c r="AT27" i="27"/>
  <c r="AX27" i="27"/>
  <c r="BB27" i="27"/>
  <c r="E23" i="27"/>
  <c r="AM27" i="27"/>
  <c r="AQ27" i="27"/>
  <c r="AU27" i="27"/>
  <c r="AY27" i="27"/>
  <c r="G23" i="27"/>
  <c r="AO27" i="27"/>
  <c r="E24" i="27"/>
  <c r="E26" i="27" s="1"/>
  <c r="F24" i="27"/>
  <c r="F26" i="27" s="1"/>
  <c r="G24" i="27"/>
  <c r="G26" i="27" s="1"/>
  <c r="H24" i="27"/>
  <c r="H26" i="27" s="1"/>
  <c r="Y35" i="27" l="1"/>
  <c r="AA35" i="27"/>
  <c r="AD35" i="27"/>
  <c r="AF35" i="27"/>
  <c r="AK35" i="27"/>
  <c r="AG35" i="27"/>
  <c r="AH35" i="27"/>
  <c r="AC35" i="27"/>
  <c r="AE35" i="27"/>
  <c r="AJ35" i="27"/>
  <c r="Z35" i="27"/>
  <c r="X36" i="27" l="1"/>
  <c r="AL34" i="27" s="1"/>
  <c r="AL33" i="27"/>
  <c r="AM34" i="27"/>
  <c r="AN34" i="27" l="1"/>
  <c r="AM33" i="27"/>
  <c r="AO34" i="27" l="1"/>
  <c r="AN33" i="27"/>
  <c r="AP34" i="27" l="1"/>
  <c r="AO33" i="27"/>
  <c r="AQ34" i="27" l="1"/>
  <c r="AP33" i="27"/>
  <c r="AR34" i="27" l="1"/>
  <c r="AQ33" i="27"/>
  <c r="AS34" i="27" l="1"/>
  <c r="AR33" i="27"/>
  <c r="AT34" i="27" l="1"/>
  <c r="AS33" i="27"/>
  <c r="AU34" i="27" l="1"/>
  <c r="AT33" i="27"/>
  <c r="AV34" i="27" l="1"/>
  <c r="AU33" i="27"/>
  <c r="AW34" i="27" l="1"/>
  <c r="AV33" i="27"/>
  <c r="AX34" i="27" l="1"/>
  <c r="AW33" i="27"/>
  <c r="AY34" i="27" l="1"/>
  <c r="AX33" i="27"/>
  <c r="AZ34" i="27" l="1"/>
  <c r="AY33" i="27"/>
  <c r="BA34" i="27" l="1"/>
  <c r="AZ33" i="27"/>
  <c r="BB34" i="27" l="1"/>
  <c r="BB33" i="27" s="1"/>
  <c r="BA33" i="27"/>
</calcChain>
</file>

<file path=xl/sharedStrings.xml><?xml version="1.0" encoding="utf-8"?>
<sst xmlns="http://schemas.openxmlformats.org/spreadsheetml/2006/main" count="373" uniqueCount="188">
  <si>
    <t>Ｈ２４</t>
    <phoneticPr fontId="2"/>
  </si>
  <si>
    <t>Ｈ２３</t>
    <phoneticPr fontId="2"/>
  </si>
  <si>
    <t>Ｈ２２</t>
    <phoneticPr fontId="2"/>
  </si>
  <si>
    <t>Ｈ２１</t>
    <phoneticPr fontId="2"/>
  </si>
  <si>
    <t>Ｈ２０</t>
    <phoneticPr fontId="2"/>
  </si>
  <si>
    <t>児童人口</t>
    <rPh sb="0" eb="2">
      <t>ジドウ</t>
    </rPh>
    <rPh sb="2" eb="4">
      <t>ジンコウ</t>
    </rPh>
    <phoneticPr fontId="2"/>
  </si>
  <si>
    <t>Ⅱ</t>
    <phoneticPr fontId="2"/>
  </si>
  <si>
    <t>H１５</t>
    <phoneticPr fontId="2"/>
  </si>
  <si>
    <t>H１６</t>
  </si>
  <si>
    <t>H１７</t>
  </si>
  <si>
    <t>H１８</t>
  </si>
  <si>
    <t>H１９</t>
  </si>
  <si>
    <t>標準誤差</t>
  </si>
  <si>
    <t>切片</t>
  </si>
  <si>
    <t>係数</t>
  </si>
  <si>
    <t xml:space="preserve">t </t>
  </si>
  <si>
    <t>P-値</t>
  </si>
  <si>
    <t>下限 95%</t>
  </si>
  <si>
    <t>上限 95%</t>
  </si>
  <si>
    <t>下限 95.0%</t>
  </si>
  <si>
    <t>上限 95.0%</t>
  </si>
  <si>
    <t>X 値 1</t>
  </si>
  <si>
    <t>児童人口a（Y）と要保護児童数b（X）を回帰分析</t>
    <rPh sb="0" eb="2">
      <t>ジドウ</t>
    </rPh>
    <rPh sb="2" eb="4">
      <t>ジンコウ</t>
    </rPh>
    <rPh sb="9" eb="12">
      <t>ヨウホゴ</t>
    </rPh>
    <rPh sb="12" eb="14">
      <t>ジドウ</t>
    </rPh>
    <rPh sb="14" eb="15">
      <t>スウ</t>
    </rPh>
    <rPh sb="20" eb="22">
      <t>カイキ</t>
    </rPh>
    <rPh sb="22" eb="24">
      <t>ブンセキ</t>
    </rPh>
    <phoneticPr fontId="2"/>
  </si>
  <si>
    <t>c</t>
    <phoneticPr fontId="2"/>
  </si>
  <si>
    <t>d</t>
    <phoneticPr fontId="2"/>
  </si>
  <si>
    <t>Ｈ１１</t>
    <phoneticPr fontId="2"/>
  </si>
  <si>
    <t>Ｈ１２</t>
    <phoneticPr fontId="2"/>
  </si>
  <si>
    <t>Ｈ１３</t>
    <phoneticPr fontId="2"/>
  </si>
  <si>
    <t>Ｈ１４</t>
    <phoneticPr fontId="2"/>
  </si>
  <si>
    <t>H２５</t>
    <phoneticPr fontId="2"/>
  </si>
  <si>
    <t>平均</t>
    <rPh sb="0" eb="2">
      <t>ヘイキン</t>
    </rPh>
    <phoneticPr fontId="2"/>
  </si>
  <si>
    <t>要保護児童数の対前年伸び率</t>
    <rPh sb="0" eb="3">
      <t>ヨウホゴ</t>
    </rPh>
    <rPh sb="3" eb="5">
      <t>ジドウ</t>
    </rPh>
    <rPh sb="5" eb="6">
      <t>スウ</t>
    </rPh>
    <rPh sb="7" eb="8">
      <t>タイ</t>
    </rPh>
    <rPh sb="8" eb="10">
      <t>ゼンネン</t>
    </rPh>
    <rPh sb="10" eb="11">
      <t>ノ</t>
    </rPh>
    <rPh sb="12" eb="13">
      <t>リツ</t>
    </rPh>
    <phoneticPr fontId="2"/>
  </si>
  <si>
    <t>伸び率</t>
    <rPh sb="0" eb="1">
      <t>ノ</t>
    </rPh>
    <rPh sb="2" eb="3">
      <t>リツ</t>
    </rPh>
    <phoneticPr fontId="2"/>
  </si>
  <si>
    <t>平均伸び率</t>
    <rPh sb="0" eb="2">
      <t>ヘイキン</t>
    </rPh>
    <rPh sb="2" eb="3">
      <t>ノ</t>
    </rPh>
    <rPh sb="4" eb="5">
      <t>リツ</t>
    </rPh>
    <phoneticPr fontId="2"/>
  </si>
  <si>
    <t>H２６</t>
  </si>
  <si>
    <t>H２７</t>
  </si>
  <si>
    <t>H２８</t>
  </si>
  <si>
    <t>H２９</t>
  </si>
  <si>
    <t>H３０</t>
  </si>
  <si>
    <t>H３１</t>
  </si>
  <si>
    <t>H３２</t>
  </si>
  <si>
    <t>H３３</t>
  </si>
  <si>
    <t>H３４</t>
  </si>
  <si>
    <t>H３５</t>
  </si>
  <si>
    <t>H３６</t>
  </si>
  <si>
    <t>H３７</t>
  </si>
  <si>
    <t>H３８</t>
  </si>
  <si>
    <t>H３９</t>
  </si>
  <si>
    <t>H４０</t>
  </si>
  <si>
    <t>H４１</t>
  </si>
  <si>
    <t>相談受付数と要保護児童数</t>
    <rPh sb="0" eb="2">
      <t>ソウダン</t>
    </rPh>
    <rPh sb="2" eb="4">
      <t>ウケツケ</t>
    </rPh>
    <rPh sb="4" eb="5">
      <t>スウ</t>
    </rPh>
    <rPh sb="6" eb="9">
      <t>ヨウホゴ</t>
    </rPh>
    <rPh sb="9" eb="11">
      <t>ジドウ</t>
    </rPh>
    <rPh sb="11" eb="12">
      <t>スウ</t>
    </rPh>
    <phoneticPr fontId="2"/>
  </si>
  <si>
    <t>（H18子ども家庭白書９５９）（H19子ども家庭白書１０３９）</t>
    <rPh sb="4" eb="5">
      <t>コ</t>
    </rPh>
    <rPh sb="7" eb="9">
      <t>カテイ</t>
    </rPh>
    <rPh sb="9" eb="11">
      <t>ハクショ</t>
    </rPh>
    <rPh sb="19" eb="20">
      <t>コ</t>
    </rPh>
    <rPh sb="22" eb="24">
      <t>カテイ</t>
    </rPh>
    <rPh sb="24" eb="26">
      <t>ハクショ</t>
    </rPh>
    <phoneticPr fontId="2"/>
  </si>
  <si>
    <t>（１）</t>
    <phoneticPr fontId="2"/>
  </si>
  <si>
    <t>（２）</t>
    <phoneticPr fontId="2"/>
  </si>
  <si>
    <t>（３）</t>
    <phoneticPr fontId="2"/>
  </si>
  <si>
    <t>（４）</t>
    <phoneticPr fontId="2"/>
  </si>
  <si>
    <t>Ｈ２６</t>
  </si>
  <si>
    <t>Ｈ２７</t>
  </si>
  <si>
    <t>Ｈ２８</t>
  </si>
  <si>
    <t>Ｈ２９</t>
  </si>
  <si>
    <t>要保護児童数</t>
    <rPh sb="0" eb="3">
      <t>ヨウホゴ</t>
    </rPh>
    <rPh sb="3" eb="5">
      <t>ジドウ</t>
    </rPh>
    <rPh sb="5" eb="6">
      <t>スウ</t>
    </rPh>
    <phoneticPr fontId="2"/>
  </si>
  <si>
    <t>一保件数と児童人口比率</t>
    <rPh sb="0" eb="1">
      <t>イチ</t>
    </rPh>
    <rPh sb="1" eb="2">
      <t>ホ</t>
    </rPh>
    <rPh sb="2" eb="4">
      <t>ケンスウ</t>
    </rPh>
    <rPh sb="5" eb="7">
      <t>ジドウ</t>
    </rPh>
    <rPh sb="7" eb="9">
      <t>ジンコウ</t>
    </rPh>
    <rPh sb="9" eb="11">
      <t>ヒリツ</t>
    </rPh>
    <phoneticPr fontId="2"/>
  </si>
  <si>
    <t>一保件数と要保護児童数</t>
    <rPh sb="0" eb="1">
      <t>イチ</t>
    </rPh>
    <rPh sb="1" eb="2">
      <t>ホ</t>
    </rPh>
    <rPh sb="2" eb="3">
      <t>ケン</t>
    </rPh>
    <rPh sb="3" eb="4">
      <t>スウ</t>
    </rPh>
    <rPh sb="5" eb="8">
      <t>ヨウホゴ</t>
    </rPh>
    <rPh sb="8" eb="10">
      <t>ジドウ</t>
    </rPh>
    <rPh sb="10" eb="11">
      <t>スウ</t>
    </rPh>
    <phoneticPr fontId="2"/>
  </si>
  <si>
    <t>（５）</t>
  </si>
  <si>
    <t>児童人口
(0～17歳)(人)</t>
    <rPh sb="0" eb="2">
      <t>ジドウ</t>
    </rPh>
    <rPh sb="2" eb="4">
      <t>ジンコウ</t>
    </rPh>
    <rPh sb="10" eb="11">
      <t>サイ</t>
    </rPh>
    <rPh sb="13" eb="14">
      <t>ニン</t>
    </rPh>
    <phoneticPr fontId="2"/>
  </si>
  <si>
    <t>要保護児童数(人）</t>
    <rPh sb="0" eb="1">
      <t>ヨウ</t>
    </rPh>
    <rPh sb="1" eb="3">
      <t>ホゴ</t>
    </rPh>
    <rPh sb="3" eb="5">
      <t>ジドウ</t>
    </rPh>
    <rPh sb="5" eb="6">
      <t>スウ</t>
    </rPh>
    <rPh sb="7" eb="8">
      <t>ニン</t>
    </rPh>
    <phoneticPr fontId="2"/>
  </si>
  <si>
    <t>養護相談受付件数(件）</t>
    <rPh sb="0" eb="2">
      <t>ヨウゴ</t>
    </rPh>
    <rPh sb="2" eb="4">
      <t>ソウダン</t>
    </rPh>
    <rPh sb="4" eb="6">
      <t>ウケツケ</t>
    </rPh>
    <rPh sb="6" eb="8">
      <t>ケンスウ</t>
    </rPh>
    <rPh sb="9" eb="10">
      <t>ケン</t>
    </rPh>
    <phoneticPr fontId="2"/>
  </si>
  <si>
    <t>H11～Ｈ25までの平均要保護児童</t>
    <rPh sb="10" eb="12">
      <t>ヘイキン</t>
    </rPh>
    <rPh sb="12" eb="15">
      <t>ヨウホゴ</t>
    </rPh>
    <rPh sb="15" eb="17">
      <t>ジドウ</t>
    </rPh>
    <phoneticPr fontId="2"/>
  </si>
  <si>
    <t>差</t>
    <rPh sb="0" eb="1">
      <t>サ</t>
    </rPh>
    <phoneticPr fontId="2"/>
  </si>
  <si>
    <t>その平均</t>
    <rPh sb="2" eb="4">
      <t>ヘイキン</t>
    </rPh>
    <phoneticPr fontId="2"/>
  </si>
  <si>
    <t>Ｈ２２</t>
  </si>
  <si>
    <t>将来推計</t>
    <rPh sb="0" eb="2">
      <t>ショウライ</t>
    </rPh>
    <rPh sb="2" eb="4">
      <t>スイケイ</t>
    </rPh>
    <phoneticPr fontId="2"/>
  </si>
  <si>
    <t>実績</t>
    <rPh sb="0" eb="2">
      <t>ジッセキ</t>
    </rPh>
    <phoneticPr fontId="2"/>
  </si>
  <si>
    <t>a</t>
    <phoneticPr fontId="2"/>
  </si>
  <si>
    <t>Ｈ２５</t>
  </si>
  <si>
    <t>Ｈ２４</t>
  </si>
  <si>
    <t>年度</t>
    <rPh sb="0" eb="2">
      <t>ネンド</t>
    </rPh>
    <phoneticPr fontId="2"/>
  </si>
  <si>
    <t>新規入所措置等子ども数</t>
    <rPh sb="0" eb="2">
      <t>シンキ</t>
    </rPh>
    <rPh sb="2" eb="4">
      <t>ニュウショ</t>
    </rPh>
    <rPh sb="4" eb="6">
      <t>ソチ</t>
    </rPh>
    <rPh sb="6" eb="7">
      <t>トウ</t>
    </rPh>
    <rPh sb="7" eb="8">
      <t>コ</t>
    </rPh>
    <rPh sb="10" eb="11">
      <t>スウ</t>
    </rPh>
    <phoneticPr fontId="2"/>
  </si>
  <si>
    <t>ｂ</t>
    <phoneticPr fontId="2"/>
  </si>
  <si>
    <t>ｃ</t>
    <phoneticPr fontId="2"/>
  </si>
  <si>
    <t>養護相談対応件数</t>
    <rPh sb="0" eb="2">
      <t>ヨウゴ</t>
    </rPh>
    <rPh sb="2" eb="4">
      <t>ソウダン</t>
    </rPh>
    <rPh sb="4" eb="6">
      <t>タイオウ</t>
    </rPh>
    <rPh sb="6" eb="8">
      <t>ケンスウ</t>
    </rPh>
    <phoneticPr fontId="2"/>
  </si>
  <si>
    <t>Ｈ２３</t>
  </si>
  <si>
    <t>d</t>
    <phoneticPr fontId="2"/>
  </si>
  <si>
    <t>一時保護子ども数</t>
    <rPh sb="0" eb="2">
      <t>イチジ</t>
    </rPh>
    <rPh sb="2" eb="4">
      <t>ホゴ</t>
    </rPh>
    <rPh sb="4" eb="5">
      <t>コ</t>
    </rPh>
    <rPh sb="7" eb="8">
      <t>スウ</t>
    </rPh>
    <phoneticPr fontId="2"/>
  </si>
  <si>
    <t>■　代替養育を必要とする子ども数の見込の推計に利用するデータ</t>
    <rPh sb="2" eb="4">
      <t>ダイタイ</t>
    </rPh>
    <rPh sb="4" eb="6">
      <t>ヨウイク</t>
    </rPh>
    <rPh sb="7" eb="9">
      <t>ヒツヨウ</t>
    </rPh>
    <rPh sb="12" eb="13">
      <t>コ</t>
    </rPh>
    <rPh sb="15" eb="16">
      <t>スウ</t>
    </rPh>
    <rPh sb="17" eb="19">
      <t>ミコミ</t>
    </rPh>
    <rPh sb="20" eb="22">
      <t>スイケイ</t>
    </rPh>
    <rPh sb="23" eb="25">
      <t>リヨウ</t>
    </rPh>
    <phoneticPr fontId="2"/>
  </si>
  <si>
    <t>e</t>
    <phoneticPr fontId="2"/>
  </si>
  <si>
    <t>Ｈ２７</t>
    <phoneticPr fontId="2"/>
  </si>
  <si>
    <t>Ｈ２８</t>
    <phoneticPr fontId="2"/>
  </si>
  <si>
    <t>養育支援訪問事業</t>
    <rPh sb="0" eb="2">
      <t>ヨウイク</t>
    </rPh>
    <rPh sb="2" eb="4">
      <t>シエン</t>
    </rPh>
    <rPh sb="4" eb="6">
      <t>ホウモン</t>
    </rPh>
    <rPh sb="6" eb="8">
      <t>ジギョウ</t>
    </rPh>
    <phoneticPr fontId="2"/>
  </si>
  <si>
    <t>ｆ</t>
    <phoneticPr fontId="2"/>
  </si>
  <si>
    <t>子育て短期支援事業
（ショートステイ）</t>
    <rPh sb="0" eb="2">
      <t>コソダ</t>
    </rPh>
    <rPh sb="3" eb="5">
      <t>タンキ</t>
    </rPh>
    <rPh sb="5" eb="7">
      <t>シエン</t>
    </rPh>
    <rPh sb="7" eb="9">
      <t>ジギョウ</t>
    </rPh>
    <phoneticPr fontId="2"/>
  </si>
  <si>
    <t>子育て短期支援事業
（トワイライトステイ）</t>
    <rPh sb="0" eb="2">
      <t>コソダ</t>
    </rPh>
    <rPh sb="3" eb="5">
      <t>タンキ</t>
    </rPh>
    <rPh sb="5" eb="7">
      <t>シエン</t>
    </rPh>
    <rPh sb="7" eb="9">
      <t>ジギョウ</t>
    </rPh>
    <phoneticPr fontId="2"/>
  </si>
  <si>
    <t>割合</t>
    <rPh sb="0" eb="2">
      <t>ワリアイ</t>
    </rPh>
    <phoneticPr fontId="2"/>
  </si>
  <si>
    <t>（単位：人）</t>
    <rPh sb="1" eb="3">
      <t>タンイ</t>
    </rPh>
    <rPh sb="4" eb="5">
      <t>ニン</t>
    </rPh>
    <phoneticPr fontId="2"/>
  </si>
  <si>
    <t>（単位：件）</t>
    <rPh sb="1" eb="3">
      <t>タンイ</t>
    </rPh>
    <rPh sb="4" eb="5">
      <t>ケン</t>
    </rPh>
    <phoneticPr fontId="2"/>
  </si>
  <si>
    <t>－</t>
    <phoneticPr fontId="2"/>
  </si>
  <si>
    <t>入所措置等子ども数</t>
    <rPh sb="0" eb="2">
      <t>ニュウショ</t>
    </rPh>
    <rPh sb="2" eb="4">
      <t>ソチ</t>
    </rPh>
    <rPh sb="4" eb="5">
      <t>トウ</t>
    </rPh>
    <rPh sb="5" eb="6">
      <t>コ</t>
    </rPh>
    <rPh sb="8" eb="9">
      <t>スウ</t>
    </rPh>
    <phoneticPr fontId="2"/>
  </si>
  <si>
    <t>要保護児童対策地域協議会で管理しているケース数（要保護児童）</t>
    <rPh sb="0" eb="3">
      <t>ヨウホゴ</t>
    </rPh>
    <rPh sb="3" eb="5">
      <t>ジドウ</t>
    </rPh>
    <rPh sb="5" eb="7">
      <t>タイサク</t>
    </rPh>
    <rPh sb="7" eb="9">
      <t>チイキ</t>
    </rPh>
    <rPh sb="9" eb="12">
      <t>キョウギカイ</t>
    </rPh>
    <rPh sb="13" eb="15">
      <t>カンリ</t>
    </rPh>
    <rPh sb="22" eb="23">
      <t>スウ</t>
    </rPh>
    <rPh sb="24" eb="27">
      <t>ヨウホゴ</t>
    </rPh>
    <rPh sb="27" eb="29">
      <t>ジドウ</t>
    </rPh>
    <phoneticPr fontId="2"/>
  </si>
  <si>
    <t>伸び率</t>
    <rPh sb="0" eb="1">
      <t>ノ</t>
    </rPh>
    <rPh sb="2" eb="3">
      <t>リツ</t>
    </rPh>
    <phoneticPr fontId="2"/>
  </si>
  <si>
    <t>－</t>
    <phoneticPr fontId="2"/>
  </si>
  <si>
    <t>※</t>
    <phoneticPr fontId="2"/>
  </si>
  <si>
    <t>各年度4月1日時点の数値（「大阪子ども家庭白書」より）</t>
    <rPh sb="0" eb="3">
      <t>カクネンド</t>
    </rPh>
    <rPh sb="4" eb="5">
      <t>ガツ</t>
    </rPh>
    <rPh sb="6" eb="7">
      <t>ニチ</t>
    </rPh>
    <rPh sb="7" eb="9">
      <t>ジテン</t>
    </rPh>
    <rPh sb="10" eb="12">
      <t>スウチ</t>
    </rPh>
    <rPh sb="14" eb="16">
      <t>オオサカ</t>
    </rPh>
    <rPh sb="16" eb="17">
      <t>コ</t>
    </rPh>
    <rPh sb="19" eb="21">
      <t>カテイ</t>
    </rPh>
    <rPh sb="21" eb="23">
      <t>ハクショ</t>
    </rPh>
    <phoneticPr fontId="2"/>
  </si>
  <si>
    <t>各年度の数値（「大阪子ども家庭白書」より）</t>
    <rPh sb="0" eb="3">
      <t>カクネンド</t>
    </rPh>
    <rPh sb="4" eb="6">
      <t>スウチ</t>
    </rPh>
    <rPh sb="8" eb="10">
      <t>オオサカ</t>
    </rPh>
    <rPh sb="10" eb="11">
      <t>コ</t>
    </rPh>
    <rPh sb="13" eb="15">
      <t>カテイ</t>
    </rPh>
    <rPh sb="15" eb="17">
      <t>ハクショ</t>
    </rPh>
    <phoneticPr fontId="2"/>
  </si>
  <si>
    <t>各年度4月1日時点の数値（大阪府内市町村実績）</t>
    <rPh sb="0" eb="3">
      <t>カクネンド</t>
    </rPh>
    <rPh sb="4" eb="5">
      <t>ガツ</t>
    </rPh>
    <rPh sb="6" eb="7">
      <t>ニチ</t>
    </rPh>
    <rPh sb="7" eb="9">
      <t>ジテン</t>
    </rPh>
    <rPh sb="10" eb="12">
      <t>スウチ</t>
    </rPh>
    <rPh sb="13" eb="15">
      <t>オオサカ</t>
    </rPh>
    <rPh sb="15" eb="17">
      <t>フナイ</t>
    </rPh>
    <rPh sb="17" eb="20">
      <t>シチョウソン</t>
    </rPh>
    <rPh sb="20" eb="22">
      <t>ジッセキ</t>
    </rPh>
    <phoneticPr fontId="2"/>
  </si>
  <si>
    <t>各年度の数値（大阪府内市町村実績）</t>
    <rPh sb="0" eb="3">
      <t>カクネンド</t>
    </rPh>
    <rPh sb="4" eb="6">
      <t>スウチ</t>
    </rPh>
    <rPh sb="7" eb="9">
      <t>オオサカ</t>
    </rPh>
    <rPh sb="9" eb="11">
      <t>フナイ</t>
    </rPh>
    <rPh sb="11" eb="14">
      <t>シチョウソン</t>
    </rPh>
    <rPh sb="14" eb="16">
      <t>ジッセキ</t>
    </rPh>
    <phoneticPr fontId="2"/>
  </si>
  <si>
    <t xml:space="preserve">　 </t>
    <phoneticPr fontId="2"/>
  </si>
  <si>
    <t>推計と実績の適合率</t>
    <rPh sb="0" eb="2">
      <t>スイケイ</t>
    </rPh>
    <rPh sb="3" eb="5">
      <t>ジッセキ</t>
    </rPh>
    <rPh sb="6" eb="8">
      <t>テキゴウ</t>
    </rPh>
    <rPh sb="8" eb="9">
      <t>リツ</t>
    </rPh>
    <phoneticPr fontId="2"/>
  </si>
  <si>
    <t>＜現在、代替養育が必要な子ども数の算出に有用と考えられるデータ＞</t>
    <rPh sb="1" eb="3">
      <t>ゲンザイ</t>
    </rPh>
    <rPh sb="4" eb="6">
      <t>ダイタイ</t>
    </rPh>
    <rPh sb="6" eb="8">
      <t>ヨウイク</t>
    </rPh>
    <rPh sb="9" eb="11">
      <t>ヒツヨウ</t>
    </rPh>
    <rPh sb="12" eb="13">
      <t>コ</t>
    </rPh>
    <rPh sb="15" eb="16">
      <t>カズ</t>
    </rPh>
    <rPh sb="17" eb="19">
      <t>サンシュツ</t>
    </rPh>
    <rPh sb="20" eb="22">
      <t>ユウヨウ</t>
    </rPh>
    <rPh sb="23" eb="24">
      <t>カンガ</t>
    </rPh>
    <phoneticPr fontId="2"/>
  </si>
  <si>
    <t>＜潜在的需要の算出に有用と考えられるデータ＞</t>
    <rPh sb="1" eb="4">
      <t>センザイテキ</t>
    </rPh>
    <rPh sb="4" eb="6">
      <t>ジュヨウ</t>
    </rPh>
    <rPh sb="7" eb="9">
      <t>サンシュツ</t>
    </rPh>
    <rPh sb="10" eb="12">
      <t>ユウヨウ</t>
    </rPh>
    <rPh sb="13" eb="14">
      <t>カンガ</t>
    </rPh>
    <phoneticPr fontId="2"/>
  </si>
  <si>
    <t>H12</t>
  </si>
  <si>
    <t>H13</t>
  </si>
  <si>
    <t>H14</t>
  </si>
  <si>
    <t>H15</t>
  </si>
  <si>
    <t>H16</t>
  </si>
  <si>
    <t>H17</t>
  </si>
  <si>
    <t>H18</t>
  </si>
  <si>
    <t>H19</t>
  </si>
  <si>
    <t>H20</t>
  </si>
  <si>
    <t>H21</t>
  </si>
  <si>
    <t>H22</t>
  </si>
  <si>
    <t>H23</t>
  </si>
  <si>
    <t>H24</t>
  </si>
  <si>
    <t>H25</t>
  </si>
  <si>
    <t>H26</t>
  </si>
  <si>
    <t>H27</t>
  </si>
  <si>
    <t>H28</t>
  </si>
  <si>
    <t>H29</t>
  </si>
  <si>
    <t>Ｈ３０</t>
    <phoneticPr fontId="2"/>
  </si>
  <si>
    <t>Ｈ３１</t>
  </si>
  <si>
    <t>Ｈ３２</t>
  </si>
  <si>
    <t>Ｈ３３</t>
  </si>
  <si>
    <t>Ｈ３４</t>
  </si>
  <si>
    <t>Ｈ３５</t>
  </si>
  <si>
    <t>Ｈ３６</t>
  </si>
  <si>
    <t>Ｈ３７</t>
  </si>
  <si>
    <t>Ｈ３８</t>
  </si>
  <si>
    <t>Ｈ３９</t>
  </si>
  <si>
    <t>Ｈ４０</t>
  </si>
  <si>
    <t>Ｈ４１</t>
  </si>
  <si>
    <t>＜参考：第２次大阪府社会的養護体制整備計画における今後の推計＞</t>
    <rPh sb="1" eb="3">
      <t>サンコウ</t>
    </rPh>
    <rPh sb="25" eb="27">
      <t>コンゴ</t>
    </rPh>
    <rPh sb="28" eb="30">
      <t>スイケイ</t>
    </rPh>
    <phoneticPr fontId="2"/>
  </si>
  <si>
    <t>大阪府児童人口
(0～17歳)</t>
    <rPh sb="0" eb="3">
      <t>オオサカフ</t>
    </rPh>
    <phoneticPr fontId="2"/>
  </si>
  <si>
    <t>H30</t>
  </si>
  <si>
    <t>H31</t>
  </si>
  <si>
    <t>H32</t>
  </si>
  <si>
    <t>H33</t>
  </si>
  <si>
    <t>H34</t>
  </si>
  <si>
    <t>H35</t>
  </si>
  <si>
    <t>H36</t>
  </si>
  <si>
    <t>H37</t>
  </si>
  <si>
    <t>H38</t>
  </si>
  <si>
    <t>H39</t>
  </si>
  <si>
    <t>H40</t>
  </si>
  <si>
    <t>H41</t>
  </si>
  <si>
    <t>0～2歳</t>
    <rPh sb="3" eb="4">
      <t>サイ</t>
    </rPh>
    <phoneticPr fontId="2"/>
  </si>
  <si>
    <t>3～5歳</t>
    <rPh sb="3" eb="4">
      <t>サイ</t>
    </rPh>
    <phoneticPr fontId="2"/>
  </si>
  <si>
    <t>6歳～17歳</t>
    <rPh sb="1" eb="2">
      <t>サイ</t>
    </rPh>
    <rPh sb="5" eb="6">
      <t>サイ</t>
    </rPh>
    <phoneticPr fontId="2"/>
  </si>
  <si>
    <t>合計</t>
    <rPh sb="0" eb="2">
      <t>ゴウケイ</t>
    </rPh>
    <phoneticPr fontId="2"/>
  </si>
  <si>
    <t>回帰統計</t>
  </si>
  <si>
    <t>重相関 R</t>
  </si>
  <si>
    <t>重決定 R2</t>
  </si>
  <si>
    <t>補正 R2</t>
  </si>
  <si>
    <t>観測数</t>
  </si>
  <si>
    <t>全国児童人口
(0～17歳)(千人)</t>
    <rPh sb="0" eb="2">
      <t>ゼンコク</t>
    </rPh>
    <rPh sb="15" eb="16">
      <t>セン</t>
    </rPh>
    <phoneticPr fontId="2"/>
  </si>
  <si>
    <t>全国児童人口（推計：千人）</t>
    <rPh sb="0" eb="2">
      <t>ゼンコク</t>
    </rPh>
    <rPh sb="7" eb="9">
      <t>スイケイ</t>
    </rPh>
    <rPh sb="10" eb="12">
      <t>センニン</t>
    </rPh>
    <phoneticPr fontId="2"/>
  </si>
  <si>
    <t>＜全国児童人口と大阪府児童人口の回帰分析＞</t>
    <rPh sb="1" eb="3">
      <t>ゼンコク</t>
    </rPh>
    <rPh sb="3" eb="5">
      <t>ジドウ</t>
    </rPh>
    <rPh sb="5" eb="7">
      <t>ジンコウ</t>
    </rPh>
    <rPh sb="8" eb="11">
      <t>オオサカフ</t>
    </rPh>
    <rPh sb="11" eb="13">
      <t>ジドウ</t>
    </rPh>
    <rPh sb="13" eb="15">
      <t>ジンコウ</t>
    </rPh>
    <rPh sb="16" eb="18">
      <t>カイキ</t>
    </rPh>
    <rPh sb="18" eb="20">
      <t>ブンセキ</t>
    </rPh>
    <phoneticPr fontId="7"/>
  </si>
  <si>
    <t>大阪府児童人口（推計：人）</t>
    <rPh sb="0" eb="3">
      <t>オオサカフ</t>
    </rPh>
    <rPh sb="3" eb="5">
      <t>ジドウ</t>
    </rPh>
    <rPh sb="5" eb="7">
      <t>ジンコウ</t>
    </rPh>
    <rPh sb="11" eb="12">
      <t>ニン</t>
    </rPh>
    <phoneticPr fontId="2"/>
  </si>
  <si>
    <t xml:space="preserve">○第2次計画策定時の算出方法に倣い、過去６年間（平成２４年度～２９年度）の全国児童人口と大阪府児童人口を回帰分析して算出した係数をもとに、国立社会保
　障・人口問題研究所の全国の児童人口の将来推計（高位推計）から大阪府の児童人口の将来推計を算出した。
○また、第３次計画においては、年齢区分別（３歳未満、３歳以上の就学前、学童期以降）の算出が求められていることから、平成27年度の国勢調査の大阪府におけ
　る結果から各年齢区分の割合をもとに、大阪府の児童人口の将来推計を区分ごとに整理した。
</t>
    <rPh sb="1" eb="2">
      <t>ダイ</t>
    </rPh>
    <rPh sb="3" eb="4">
      <t>ジ</t>
    </rPh>
    <rPh sb="4" eb="6">
      <t>ケイカク</t>
    </rPh>
    <rPh sb="6" eb="8">
      <t>サクテイ</t>
    </rPh>
    <rPh sb="8" eb="9">
      <t>ジ</t>
    </rPh>
    <rPh sb="10" eb="12">
      <t>サンシュツ</t>
    </rPh>
    <rPh sb="12" eb="14">
      <t>ホウホウ</t>
    </rPh>
    <rPh sb="15" eb="16">
      <t>ナラ</t>
    </rPh>
    <rPh sb="99" eb="101">
      <t>コウイ</t>
    </rPh>
    <rPh sb="101" eb="103">
      <t>スイケイ</t>
    </rPh>
    <rPh sb="130" eb="131">
      <t>ダイ</t>
    </rPh>
    <rPh sb="132" eb="133">
      <t>ジ</t>
    </rPh>
    <rPh sb="133" eb="135">
      <t>ケイカク</t>
    </rPh>
    <rPh sb="141" eb="143">
      <t>ネンレイ</t>
    </rPh>
    <rPh sb="143" eb="145">
      <t>クブン</t>
    </rPh>
    <rPh sb="145" eb="146">
      <t>ベツ</t>
    </rPh>
    <rPh sb="148" eb="151">
      <t>サイミマン</t>
    </rPh>
    <rPh sb="153" eb="156">
      <t>サイイジョウ</t>
    </rPh>
    <rPh sb="157" eb="160">
      <t>シュウガクマエ</t>
    </rPh>
    <rPh sb="161" eb="163">
      <t>ガクドウ</t>
    </rPh>
    <rPh sb="163" eb="164">
      <t>キ</t>
    </rPh>
    <rPh sb="164" eb="166">
      <t>イコウ</t>
    </rPh>
    <rPh sb="168" eb="170">
      <t>サンシュツ</t>
    </rPh>
    <rPh sb="171" eb="172">
      <t>モト</t>
    </rPh>
    <rPh sb="183" eb="185">
      <t>ヘイセイ</t>
    </rPh>
    <rPh sb="187" eb="189">
      <t>ネンド</t>
    </rPh>
    <rPh sb="190" eb="192">
      <t>コクセイ</t>
    </rPh>
    <rPh sb="192" eb="194">
      <t>チョウサ</t>
    </rPh>
    <rPh sb="195" eb="198">
      <t>オオサカフ</t>
    </rPh>
    <rPh sb="204" eb="206">
      <t>ケッカ</t>
    </rPh>
    <rPh sb="208" eb="211">
      <t>カクネンレイ</t>
    </rPh>
    <rPh sb="211" eb="213">
      <t>クブン</t>
    </rPh>
    <rPh sb="214" eb="216">
      <t>ワリアイ</t>
    </rPh>
    <rPh sb="235" eb="237">
      <t>クブン</t>
    </rPh>
    <rPh sb="240" eb="242">
      <t>セイリ</t>
    </rPh>
    <phoneticPr fontId="2"/>
  </si>
  <si>
    <t>※各データは「子ども家庭白書」より抜粋。</t>
    <rPh sb="1" eb="2">
      <t>カク</t>
    </rPh>
    <rPh sb="7" eb="8">
      <t>コ</t>
    </rPh>
    <rPh sb="10" eb="12">
      <t>カテイ</t>
    </rPh>
    <rPh sb="12" eb="14">
      <t>ハクショ</t>
    </rPh>
    <rPh sb="17" eb="19">
      <t>バッスイ</t>
    </rPh>
    <phoneticPr fontId="2"/>
  </si>
  <si>
    <t>※全国の実績は総務省（10月1日時点）統計、大阪府は</t>
    <rPh sb="1" eb="3">
      <t>ゼンコク</t>
    </rPh>
    <rPh sb="4" eb="6">
      <t>ジッセキ</t>
    </rPh>
    <rPh sb="7" eb="10">
      <t>ソウムショウ</t>
    </rPh>
    <rPh sb="13" eb="14">
      <t>ガツ</t>
    </rPh>
    <rPh sb="15" eb="16">
      <t>ニチ</t>
    </rPh>
    <rPh sb="16" eb="18">
      <t>ジテン</t>
    </rPh>
    <rPh sb="19" eb="21">
      <t>トウケイ</t>
    </rPh>
    <rPh sb="22" eb="25">
      <t>オオサカフ</t>
    </rPh>
    <phoneticPr fontId="2"/>
  </si>
  <si>
    <t>　「子ども家庭白書」より</t>
    <rPh sb="2" eb="3">
      <t>コ</t>
    </rPh>
    <rPh sb="5" eb="7">
      <t>カテイ</t>
    </rPh>
    <rPh sb="7" eb="9">
      <t>ハクショ</t>
    </rPh>
    <phoneticPr fontId="2"/>
  </si>
  <si>
    <t>■代替養育を必要とする子ども数の見込みの手順</t>
    <rPh sb="1" eb="3">
      <t>ダイタイ</t>
    </rPh>
    <rPh sb="3" eb="5">
      <t>ヨウイク</t>
    </rPh>
    <rPh sb="6" eb="8">
      <t>ヒツヨウ</t>
    </rPh>
    <rPh sb="11" eb="12">
      <t>コ</t>
    </rPh>
    <rPh sb="14" eb="15">
      <t>スウ</t>
    </rPh>
    <rPh sb="16" eb="18">
      <t>ミコミ</t>
    </rPh>
    <rPh sb="20" eb="22">
      <t>テジュン</t>
    </rPh>
    <phoneticPr fontId="2"/>
  </si>
  <si>
    <t>　①子どもの人口（推計・各歳ごと）の推計</t>
    <rPh sb="2" eb="3">
      <t>コ</t>
    </rPh>
    <rPh sb="6" eb="8">
      <t>ジンコウ</t>
    </rPh>
    <rPh sb="9" eb="11">
      <t>スイケイ</t>
    </rPh>
    <rPh sb="12" eb="14">
      <t>カクトシ</t>
    </rPh>
    <rPh sb="18" eb="20">
      <t>スイケイ</t>
    </rPh>
    <phoneticPr fontId="2"/>
  </si>
  <si>
    <t>　④②から③を減じて算出した数値を施設で養育が必要な子ども数の推計とする。</t>
    <rPh sb="7" eb="8">
      <t>ゲン</t>
    </rPh>
    <rPh sb="10" eb="12">
      <t>サンシュツ</t>
    </rPh>
    <rPh sb="14" eb="16">
      <t>スウチ</t>
    </rPh>
    <rPh sb="17" eb="19">
      <t>シセツ</t>
    </rPh>
    <rPh sb="20" eb="22">
      <t>ヨウイク</t>
    </rPh>
    <rPh sb="23" eb="25">
      <t>ヒツヨウ</t>
    </rPh>
    <rPh sb="26" eb="27">
      <t>コ</t>
    </rPh>
    <rPh sb="29" eb="30">
      <t>スウ</t>
    </rPh>
    <rPh sb="31" eb="33">
      <t>スイケイ</t>
    </rPh>
    <phoneticPr fontId="2"/>
  </si>
  <si>
    <t>　③国の要領に示された算式１及び算式２により、里親等委託が必要な子ども数を年齢区</t>
    <rPh sb="2" eb="3">
      <t>クニ</t>
    </rPh>
    <rPh sb="4" eb="6">
      <t>ヨウリョウ</t>
    </rPh>
    <rPh sb="7" eb="8">
      <t>シメ</t>
    </rPh>
    <rPh sb="11" eb="13">
      <t>サンシキ</t>
    </rPh>
    <rPh sb="14" eb="15">
      <t>オヨ</t>
    </rPh>
    <rPh sb="16" eb="18">
      <t>サンシキ</t>
    </rPh>
    <rPh sb="23" eb="25">
      <t>サトオヤ</t>
    </rPh>
    <rPh sb="25" eb="26">
      <t>トウ</t>
    </rPh>
    <rPh sb="26" eb="28">
      <t>イタク</t>
    </rPh>
    <rPh sb="29" eb="31">
      <t>ヒツヨウ</t>
    </rPh>
    <rPh sb="32" eb="33">
      <t>コ</t>
    </rPh>
    <rPh sb="35" eb="36">
      <t>スウ</t>
    </rPh>
    <rPh sb="37" eb="39">
      <t>ネンレイ</t>
    </rPh>
    <rPh sb="39" eb="40">
      <t>ク</t>
    </rPh>
    <phoneticPr fontId="2"/>
  </si>
  <si>
    <t>　 　分別に算出</t>
    <phoneticPr fontId="2"/>
  </si>
  <si>
    <t>＜②の算出に有用として国から示されたデータ＞
（ア）現在、代替養育が必要な子ども数の算出に有用と考えられるデータ
　ａ．現に入所措置又は里親等委託されている子ども数（以下「入所措置等子ども数」という。）　
　　　の子どもの人口に占める割合
（イ）潜在的需要の算出に有用と考えられるデータ
　ｂ．「新規入所措置等子ども数」の過去○年間の状況及び伸び率
　ｃ．「児童相談所における養護相談対応件数」の過去○年間の状況及び伸び率
　ｄ．一時保護子ども数（一時保護所・一時保護委託）の過去○年間の状況及び伸び率
　ｅ．市区町村の要保護児童対策地域協議会で管理しているケース数の過去○年間の状況　
　　　及び伸び率
　ｆ．子ども・子育て支援法に基づき、各市区町村が策定した「市町村子ども・子育て支援事業計
　　　画」の社会的養育に関係する事業の量等のデータ
　ｇ．児童相談所で受理した相談等のうち、種々の理由により入所措置又は里親委託を行ってい
　　　ないが、入所措置又は里親委託を必要とする可能性がある件数（子ども数）の過去○年間
　　　の状況及び伸び率
　h．親子再統合や養子縁組推進に向けた取組の推進によって代替養育から解除されるケース
　　　数の過去◯年間の状況及び伸び率</t>
    <rPh sb="3" eb="5">
      <t>サンシュツ</t>
    </rPh>
    <rPh sb="6" eb="8">
      <t>ユウヨウ</t>
    </rPh>
    <rPh sb="11" eb="12">
      <t>クニ</t>
    </rPh>
    <rPh sb="14" eb="15">
      <t>シメ</t>
    </rPh>
    <phoneticPr fontId="2"/>
  </si>
  <si>
    <t>※全国児童人口の推計は、国立社会保障・人口問題研究所の全国の児童人口の将来推計（高位推計）による。</t>
    <rPh sb="1" eb="3">
      <t>ゼンコク</t>
    </rPh>
    <rPh sb="3" eb="5">
      <t>ジドウ</t>
    </rPh>
    <rPh sb="5" eb="7">
      <t>ジンコウ</t>
    </rPh>
    <rPh sb="8" eb="10">
      <t>スイケイ</t>
    </rPh>
    <phoneticPr fontId="2"/>
  </si>
  <si>
    <t>大阪府の要保護児童数</t>
    <rPh sb="0" eb="3">
      <t>オオサカフ</t>
    </rPh>
    <rPh sb="4" eb="7">
      <t>ヨウホゴ</t>
    </rPh>
    <rPh sb="7" eb="9">
      <t>ジドウ</t>
    </rPh>
    <rPh sb="9" eb="10">
      <t>スウ</t>
    </rPh>
    <phoneticPr fontId="2"/>
  </si>
  <si>
    <t>大阪府の
要保護児童数</t>
    <rPh sb="0" eb="3">
      <t>オオサカフ</t>
    </rPh>
    <rPh sb="5" eb="8">
      <t>ヨウホゴ</t>
    </rPh>
    <rPh sb="8" eb="10">
      <t>ジドウ</t>
    </rPh>
    <rPh sb="10" eb="11">
      <t>スウ</t>
    </rPh>
    <phoneticPr fontId="2"/>
  </si>
  <si>
    <t>H11</t>
  </si>
  <si>
    <t>○第２次計画策定時は、大阪府における児童人口の将来推計と、過去１５年間（平成１１年度～２５年度）の大阪府児童人口と大阪府の要保護児童数の回帰分析により
　算出される係数から、要保護児童数の見込み数を算出した。
○第３次計画においては、大阪府児童人口と大阪府の要保護児童数の回帰分析の幅を平成１１年度～平成２９年度まで幅を広げて係数を算出し、大阪府の要保護児童
　数の見込み数を算出した。また、年齢区分別（３歳未満、３歳以上の就学前、学童期以降）の数値を、「措置児童の家庭復帰調査」における平成３０年１月１日時点の措
　置児童の年齢構成をもとに整理した。</t>
    <rPh sb="1" eb="2">
      <t>ダイ</t>
    </rPh>
    <rPh sb="3" eb="4">
      <t>ジ</t>
    </rPh>
    <rPh sb="4" eb="6">
      <t>ケイカク</t>
    </rPh>
    <rPh sb="6" eb="8">
      <t>サクテイ</t>
    </rPh>
    <rPh sb="8" eb="9">
      <t>ジ</t>
    </rPh>
    <rPh sb="23" eb="25">
      <t>ショウライ</t>
    </rPh>
    <rPh sb="25" eb="27">
      <t>スイケイ</t>
    </rPh>
    <rPh sb="77" eb="79">
      <t>サンシュツ</t>
    </rPh>
    <rPh sb="87" eb="90">
      <t>ヨウホゴ</t>
    </rPh>
    <rPh sb="90" eb="92">
      <t>ジドウ</t>
    </rPh>
    <rPh sb="92" eb="93">
      <t>スウ</t>
    </rPh>
    <rPh sb="94" eb="96">
      <t>ミコ</t>
    </rPh>
    <rPh sb="97" eb="98">
      <t>スウ</t>
    </rPh>
    <rPh sb="106" eb="107">
      <t>ダイ</t>
    </rPh>
    <rPh sb="108" eb="109">
      <t>ジ</t>
    </rPh>
    <rPh sb="109" eb="111">
      <t>ケイカク</t>
    </rPh>
    <rPh sb="136" eb="138">
      <t>カイキ</t>
    </rPh>
    <rPh sb="138" eb="140">
      <t>ブンセキ</t>
    </rPh>
    <rPh sb="141" eb="142">
      <t>ハバ</t>
    </rPh>
    <rPh sb="143" eb="145">
      <t>ヘイセイ</t>
    </rPh>
    <rPh sb="147" eb="149">
      <t>ネンド</t>
    </rPh>
    <rPh sb="150" eb="152">
      <t>ヘイセイ</t>
    </rPh>
    <rPh sb="154" eb="156">
      <t>ネンド</t>
    </rPh>
    <rPh sb="158" eb="159">
      <t>ハバ</t>
    </rPh>
    <rPh sb="160" eb="161">
      <t>ヒロ</t>
    </rPh>
    <rPh sb="163" eb="165">
      <t>ケイスウ</t>
    </rPh>
    <rPh sb="166" eb="168">
      <t>サンシュツ</t>
    </rPh>
    <rPh sb="170" eb="173">
      <t>オオサカフ</t>
    </rPh>
    <rPh sb="174" eb="177">
      <t>ヨウホゴ</t>
    </rPh>
    <rPh sb="177" eb="179">
      <t>ジドウ</t>
    </rPh>
    <rPh sb="181" eb="182">
      <t>スウ</t>
    </rPh>
    <rPh sb="183" eb="185">
      <t>ミコミ</t>
    </rPh>
    <rPh sb="186" eb="187">
      <t>スウ</t>
    </rPh>
    <rPh sb="188" eb="190">
      <t>サンシュツ</t>
    </rPh>
    <rPh sb="196" eb="198">
      <t>ネンレイ</t>
    </rPh>
    <rPh sb="198" eb="200">
      <t>クブン</t>
    </rPh>
    <rPh sb="200" eb="201">
      <t>ベツ</t>
    </rPh>
    <rPh sb="203" eb="206">
      <t>サイミマン</t>
    </rPh>
    <rPh sb="208" eb="211">
      <t>サイイジョウ</t>
    </rPh>
    <rPh sb="212" eb="215">
      <t>シュウガクマエ</t>
    </rPh>
    <rPh sb="216" eb="218">
      <t>ガクドウ</t>
    </rPh>
    <rPh sb="218" eb="219">
      <t>キ</t>
    </rPh>
    <rPh sb="219" eb="221">
      <t>イコウ</t>
    </rPh>
    <rPh sb="223" eb="225">
      <t>スウチ</t>
    </rPh>
    <rPh sb="228" eb="230">
      <t>ソチ</t>
    </rPh>
    <rPh sb="230" eb="232">
      <t>ジドウ</t>
    </rPh>
    <rPh sb="233" eb="235">
      <t>カテイ</t>
    </rPh>
    <rPh sb="235" eb="237">
      <t>フッキ</t>
    </rPh>
    <rPh sb="237" eb="239">
      <t>チョウサ</t>
    </rPh>
    <rPh sb="244" eb="246">
      <t>ヘイセイ</t>
    </rPh>
    <rPh sb="248" eb="249">
      <t>ネン</t>
    </rPh>
    <rPh sb="250" eb="251">
      <t>ガツ</t>
    </rPh>
    <rPh sb="252" eb="253">
      <t>ニチ</t>
    </rPh>
    <rPh sb="253" eb="255">
      <t>ジテン</t>
    </rPh>
    <rPh sb="260" eb="262">
      <t>ジドウ</t>
    </rPh>
    <rPh sb="263" eb="265">
      <t>ネンレイ</t>
    </rPh>
    <rPh sb="265" eb="267">
      <t>コウセイ</t>
    </rPh>
    <rPh sb="271" eb="273">
      <t>セイリ</t>
    </rPh>
    <phoneticPr fontId="2"/>
  </si>
  <si>
    <t>＜大阪府児童人口と大阪府の要保護児童数の回帰分析＞</t>
    <rPh sb="1" eb="4">
      <t>オオサカフ</t>
    </rPh>
    <rPh sb="4" eb="6">
      <t>ジドウ</t>
    </rPh>
    <rPh sb="6" eb="8">
      <t>ジンコウ</t>
    </rPh>
    <rPh sb="9" eb="12">
      <t>オオサカフ</t>
    </rPh>
    <rPh sb="13" eb="16">
      <t>ヨウホゴ</t>
    </rPh>
    <rPh sb="16" eb="18">
      <t>ジドウ</t>
    </rPh>
    <rPh sb="18" eb="19">
      <t>スウ</t>
    </rPh>
    <rPh sb="20" eb="22">
      <t>カイキ</t>
    </rPh>
    <rPh sb="22" eb="24">
      <t>ブンセキ</t>
    </rPh>
    <phoneticPr fontId="7"/>
  </si>
  <si>
    <t>合計</t>
    <rPh sb="0" eb="2">
      <t>ゴウケイ</t>
    </rPh>
    <phoneticPr fontId="2"/>
  </si>
  <si>
    <t>　②代替養育が必要となる子ども数の見込の推計（潜在的需要を含む）</t>
    <rPh sb="2" eb="4">
      <t>ダイタイ</t>
    </rPh>
    <rPh sb="4" eb="6">
      <t>ヨウイク</t>
    </rPh>
    <rPh sb="7" eb="9">
      <t>ヒツヨウ</t>
    </rPh>
    <rPh sb="12" eb="13">
      <t>コ</t>
    </rPh>
    <rPh sb="15" eb="16">
      <t>スウ</t>
    </rPh>
    <rPh sb="17" eb="19">
      <t>ミコミ</t>
    </rPh>
    <rPh sb="20" eb="22">
      <t>スイケイ</t>
    </rPh>
    <rPh sb="23" eb="26">
      <t>センザイテキ</t>
    </rPh>
    <rPh sb="26" eb="28">
      <t>ジュヨウ</t>
    </rPh>
    <rPh sb="29" eb="30">
      <t>フク</t>
    </rPh>
    <phoneticPr fontId="2"/>
  </si>
  <si>
    <t>第２次大阪府社会的養護体制整備計画における「代替養育を必要とする子ども数」等の見込みに対する実績ついて（検証）</t>
    <rPh sb="0" eb="1">
      <t>ダイ</t>
    </rPh>
    <rPh sb="2" eb="3">
      <t>ジ</t>
    </rPh>
    <rPh sb="3" eb="6">
      <t>オオサカフ</t>
    </rPh>
    <rPh sb="6" eb="9">
      <t>シャカイテキ</t>
    </rPh>
    <rPh sb="9" eb="11">
      <t>ヨウゴ</t>
    </rPh>
    <rPh sb="11" eb="13">
      <t>タイセイ</t>
    </rPh>
    <rPh sb="13" eb="15">
      <t>セイビ</t>
    </rPh>
    <rPh sb="15" eb="17">
      <t>ケイカク</t>
    </rPh>
    <rPh sb="37" eb="38">
      <t>トウ</t>
    </rPh>
    <rPh sb="43" eb="44">
      <t>タイ</t>
    </rPh>
    <rPh sb="46" eb="48">
      <t>ジッセキ</t>
    </rPh>
    <rPh sb="52" eb="54">
      <t>ケンショウ</t>
    </rPh>
    <phoneticPr fontId="2"/>
  </si>
  <si>
    <t>第３次大阪府社会的養護体制整備計画における児童人口の将来推計について（作業①）</t>
    <rPh sb="21" eb="23">
      <t>ジドウ</t>
    </rPh>
    <rPh sb="23" eb="25">
      <t>ジンコウ</t>
    </rPh>
    <rPh sb="26" eb="28">
      <t>ショウライ</t>
    </rPh>
    <rPh sb="28" eb="30">
      <t>スイケイ</t>
    </rPh>
    <rPh sb="35" eb="37">
      <t>サギョウ</t>
    </rPh>
    <phoneticPr fontId="2"/>
  </si>
  <si>
    <t>第３次大阪府社会的養護体制整備計画における代替養育を必要とする子ども数の見込みについて（作業②）</t>
    <rPh sb="44" eb="46">
      <t>サギョウ</t>
    </rPh>
    <phoneticPr fontId="2"/>
  </si>
  <si>
    <t>（単位：延べ人数）</t>
    <rPh sb="1" eb="3">
      <t>タンイ</t>
    </rPh>
    <rPh sb="4" eb="5">
      <t>ノ</t>
    </rPh>
    <rPh sb="6" eb="7">
      <t>ヒト</t>
    </rPh>
    <rPh sb="7" eb="8">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</si>
</sst>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00000"/>
    <numFmt numFmtId="177" formatCode="0_ "/>
    <numFmt numFmtId="178" formatCode="0.000"/>
    <numFmt numFmtId="179" formatCode="#,##0_);[Red]\(#,##0\)"/>
    <numFmt numFmtId="180" formatCode="0.0000_ "/>
    <numFmt numFmtId="181" formatCode="#,##0_ "/>
    <numFmt numFmtId="182" formatCode="#,##0.0000000000_ "/>
    <numFmt numFmtId="183" formatCode="0.000%"/>
    <numFmt numFmtId="184" formatCode="0.0%"/>
    <numFmt numFmtId="185"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明朝"/>
      <family val="1"/>
      <charset val="128"/>
    </font>
    <font>
      <sz val="11"/>
      <color theme="1"/>
      <name val="ＭＳ Ｐゴシック"/>
      <family val="3"/>
      <charset val="128"/>
    </font>
    <font>
      <sz val="18"/>
      <name val="ＭＳ Ｐゴシック"/>
      <family val="3"/>
      <charset val="128"/>
    </font>
    <font>
      <u/>
      <sz val="12"/>
      <name val="ＭＳ Ｐゴシック"/>
      <family val="3"/>
      <charset val="128"/>
    </font>
    <font>
      <u/>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5" tint="0.59999389629810485"/>
        <bgColor indexed="64"/>
      </patternFill>
    </fill>
    <fill>
      <patternFill patternType="solid">
        <fgColor rgb="FFFFFF00"/>
        <bgColor indexed="64"/>
      </patternFill>
    </fill>
    <fill>
      <patternFill patternType="solid">
        <fgColor theme="9"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1">
    <xf numFmtId="0" fontId="0" fillId="0" borderId="0" xfId="0">
      <alignment vertical="center"/>
    </xf>
    <xf numFmtId="1" fontId="0" fillId="0" borderId="0" xfId="0" applyNumberFormat="1" applyAlignment="1">
      <alignment vertical="center" wrapText="1"/>
    </xf>
    <xf numFmtId="176" fontId="0" fillId="0" borderId="0" xfId="0" applyNumberFormat="1" applyAlignment="1">
      <alignment vertical="center" wrapText="1"/>
    </xf>
    <xf numFmtId="38" fontId="1" fillId="2" borderId="1" xfId="1" applyFill="1" applyBorder="1" applyAlignment="1">
      <alignment vertical="center" wrapText="1"/>
    </xf>
    <xf numFmtId="0" fontId="0" fillId="0" borderId="0" xfId="0" applyFill="1" applyBorder="1" applyAlignment="1">
      <alignment horizontal="center" vertical="center" wrapText="1"/>
    </xf>
    <xf numFmtId="177" fontId="0" fillId="0" borderId="0" xfId="0" applyNumberFormat="1" applyFill="1" applyBorder="1">
      <alignment vertical="center"/>
    </xf>
    <xf numFmtId="178" fontId="0" fillId="0" borderId="0" xfId="0" applyNumberFormat="1" applyBorder="1" applyAlignment="1">
      <alignment vertical="center" wrapText="1"/>
    </xf>
    <xf numFmtId="3" fontId="0" fillId="2" borderId="1" xfId="0" applyNumberFormat="1" applyFill="1"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0" fillId="0" borderId="10" xfId="0" applyFill="1" applyBorder="1" applyAlignment="1">
      <alignment vertical="center"/>
    </xf>
    <xf numFmtId="0" fontId="0" fillId="0" borderId="12" xfId="0" applyFont="1" applyFill="1" applyBorder="1" applyAlignment="1">
      <alignment horizontal="center" vertical="center"/>
    </xf>
    <xf numFmtId="0" fontId="0" fillId="0" borderId="13" xfId="0" applyFill="1" applyBorder="1" applyAlignment="1">
      <alignment vertical="center"/>
    </xf>
    <xf numFmtId="0" fontId="0" fillId="0" borderId="14" xfId="0" applyFill="1" applyBorder="1" applyAlignment="1">
      <alignment vertical="center"/>
    </xf>
    <xf numFmtId="0" fontId="0" fillId="0" borderId="2" xfId="0" applyFill="1" applyBorder="1" applyAlignment="1">
      <alignment horizontal="right" vertical="center"/>
    </xf>
    <xf numFmtId="0" fontId="0" fillId="0" borderId="3" xfId="0" applyFill="1" applyBorder="1" applyAlignment="1">
      <alignment vertical="center"/>
    </xf>
    <xf numFmtId="0" fontId="0" fillId="0" borderId="11" xfId="0" applyFill="1" applyBorder="1" applyAlignment="1">
      <alignment horizontal="right" vertical="center"/>
    </xf>
    <xf numFmtId="3" fontId="0" fillId="3" borderId="1" xfId="0" applyNumberFormat="1" applyFill="1" applyBorder="1" applyAlignment="1">
      <alignment vertical="center" wrapText="1"/>
    </xf>
    <xf numFmtId="180" fontId="0" fillId="0" borderId="0" xfId="0" applyNumberFormat="1" applyFill="1" applyBorder="1">
      <alignment vertical="center"/>
    </xf>
    <xf numFmtId="180" fontId="0" fillId="0" borderId="0" xfId="0" applyNumberFormat="1" applyAlignment="1">
      <alignment vertical="center" wrapText="1"/>
    </xf>
    <xf numFmtId="181" fontId="0" fillId="0" borderId="1" xfId="0" applyNumberFormat="1" applyBorder="1" applyAlignment="1">
      <alignment vertical="center" wrapText="1"/>
    </xf>
    <xf numFmtId="38" fontId="1" fillId="0" borderId="0" xfId="1" applyBorder="1" applyAlignment="1">
      <alignment vertical="center" wrapText="1"/>
    </xf>
    <xf numFmtId="38" fontId="0" fillId="0" borderId="0" xfId="1" applyFont="1" applyBorder="1" applyAlignment="1">
      <alignment vertical="center" wrapText="1"/>
    </xf>
    <xf numFmtId="182" fontId="0" fillId="0" borderId="9" xfId="0" applyNumberFormat="1" applyFill="1" applyBorder="1" applyAlignment="1">
      <alignment vertical="center"/>
    </xf>
    <xf numFmtId="49" fontId="0" fillId="0" borderId="0" xfId="0" applyNumberFormat="1" applyBorder="1" applyAlignment="1">
      <alignment horizontal="center" vertical="center" wrapText="1"/>
    </xf>
    <xf numFmtId="179" fontId="0" fillId="0" borderId="1" xfId="0" applyNumberFormat="1" applyBorder="1" applyAlignment="1">
      <alignment vertical="center" wrapText="1"/>
    </xf>
    <xf numFmtId="179" fontId="0" fillId="0" borderId="1" xfId="1" applyNumberFormat="1" applyFont="1" applyFill="1" applyBorder="1">
      <alignment vertical="center"/>
    </xf>
    <xf numFmtId="179" fontId="0" fillId="0" borderId="1" xfId="1" applyNumberFormat="1" applyFont="1" applyFill="1" applyBorder="1" applyAlignment="1">
      <alignment vertical="center" wrapText="1"/>
    </xf>
    <xf numFmtId="179" fontId="0" fillId="0" borderId="1" xfId="0" applyNumberFormat="1" applyFill="1" applyBorder="1" applyAlignment="1">
      <alignment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0" xfId="0" applyBorder="1" applyAlignment="1">
      <alignment horizontal="left" vertical="center" wrapText="1"/>
    </xf>
    <xf numFmtId="0" fontId="0" fillId="0" borderId="0" xfId="0" applyAlignment="1">
      <alignment horizontal="center" vertical="center" wrapText="1"/>
    </xf>
    <xf numFmtId="0" fontId="0" fillId="0" borderId="8" xfId="0" applyFont="1" applyFill="1" applyBorder="1" applyAlignment="1">
      <alignment horizontal="center" vertical="center"/>
    </xf>
    <xf numFmtId="0" fontId="0" fillId="0" borderId="0" xfId="0" applyBorder="1" applyAlignment="1">
      <alignment vertical="center" wrapText="1"/>
    </xf>
    <xf numFmtId="49" fontId="0" fillId="0" borderId="1" xfId="0" applyNumberFormat="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horizontal="center" vertical="center" wrapText="1"/>
    </xf>
    <xf numFmtId="3" fontId="0" fillId="0" borderId="0" xfId="0" applyNumberFormat="1" applyAlignment="1">
      <alignment vertical="center" wrapText="1"/>
    </xf>
    <xf numFmtId="1" fontId="0" fillId="0" borderId="0" xfId="0" applyNumberFormat="1" applyAlignment="1">
      <alignment horizontal="center" vertical="center" wrapText="1"/>
    </xf>
    <xf numFmtId="49" fontId="0" fillId="0" borderId="1" xfId="0" applyNumberFormat="1" applyBorder="1" applyAlignment="1">
      <alignment horizontal="center" vertical="center" wrapText="1"/>
    </xf>
    <xf numFmtId="3" fontId="0" fillId="0" borderId="1" xfId="0" applyNumberFormat="1" applyFill="1" applyBorder="1" applyAlignment="1">
      <alignment vertical="center" wrapText="1"/>
    </xf>
    <xf numFmtId="38" fontId="1" fillId="0" borderId="1" xfId="1" applyFill="1" applyBorder="1" applyAlignment="1">
      <alignment vertical="center" wrapText="1"/>
    </xf>
    <xf numFmtId="0" fontId="0" fillId="0" borderId="1" xfId="0" applyBorder="1">
      <alignment vertical="center"/>
    </xf>
    <xf numFmtId="10" fontId="0" fillId="0" borderId="1" xfId="0" applyNumberFormat="1" applyBorder="1">
      <alignment vertical="center"/>
    </xf>
    <xf numFmtId="184" fontId="0" fillId="0" borderId="1" xfId="0" applyNumberFormat="1" applyBorder="1">
      <alignment vertical="center"/>
    </xf>
    <xf numFmtId="0" fontId="5" fillId="0" borderId="1" xfId="0" applyFont="1" applyBorder="1"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0" fontId="5" fillId="0" borderId="0" xfId="0" applyFont="1" applyAlignment="1">
      <alignment horizontal="right" vertical="center"/>
    </xf>
    <xf numFmtId="179" fontId="0" fillId="0" borderId="1" xfId="0" applyNumberFormat="1" applyBorder="1">
      <alignment vertical="center"/>
    </xf>
    <xf numFmtId="179" fontId="1" fillId="0" borderId="1" xfId="1" applyNumberFormat="1" applyFill="1" applyBorder="1" applyAlignment="1">
      <alignment vertical="center" wrapText="1"/>
    </xf>
    <xf numFmtId="181" fontId="0" fillId="0" borderId="1" xfId="0" applyNumberFormat="1" applyBorder="1">
      <alignment vertical="center"/>
    </xf>
    <xf numFmtId="0" fontId="0" fillId="0" borderId="0" xfId="0" applyBorder="1" applyAlignment="1">
      <alignment horizontal="center" vertical="center"/>
    </xf>
    <xf numFmtId="0" fontId="0" fillId="0" borderId="0" xfId="0" applyBorder="1">
      <alignment vertical="center"/>
    </xf>
    <xf numFmtId="184" fontId="0" fillId="0" borderId="0" xfId="0" applyNumberFormat="1" applyBorder="1">
      <alignment vertical="center"/>
    </xf>
    <xf numFmtId="10" fontId="0" fillId="0" borderId="0" xfId="0" applyNumberFormat="1" applyBorder="1">
      <alignment vertical="center"/>
    </xf>
    <xf numFmtId="0" fontId="5" fillId="0" borderId="0" xfId="0" applyFont="1" applyBorder="1" applyAlignment="1">
      <alignment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3" fillId="0" borderId="0" xfId="0" applyFont="1" applyAlignment="1">
      <alignment horizontal="left" vertical="center" wrapText="1"/>
    </xf>
    <xf numFmtId="0" fontId="0" fillId="0" borderId="16" xfId="0" applyBorder="1">
      <alignment vertical="center"/>
    </xf>
    <xf numFmtId="183" fontId="0" fillId="0" borderId="1" xfId="0" applyNumberFormat="1" applyBorder="1">
      <alignment vertical="center"/>
    </xf>
    <xf numFmtId="38" fontId="1" fillId="0" borderId="1" xfId="1" applyFill="1" applyBorder="1" applyAlignment="1">
      <alignment horizontal="right" vertical="center" wrapText="1"/>
    </xf>
    <xf numFmtId="3" fontId="0" fillId="0" borderId="1" xfId="0" applyNumberFormat="1" applyFill="1" applyBorder="1" applyAlignment="1">
      <alignment horizontal="right" vertical="center" wrapText="1"/>
    </xf>
    <xf numFmtId="179" fontId="0" fillId="0" borderId="1" xfId="1" applyNumberFormat="1" applyFont="1" applyFill="1" applyBorder="1" applyAlignment="1">
      <alignment horizontal="right" vertical="center" wrapText="1"/>
    </xf>
    <xf numFmtId="0" fontId="0" fillId="0" borderId="0" xfId="0" applyFill="1" applyBorder="1">
      <alignment vertical="center"/>
    </xf>
    <xf numFmtId="0" fontId="3" fillId="0" borderId="0" xfId="0" applyFont="1">
      <alignment vertical="center"/>
    </xf>
    <xf numFmtId="183" fontId="0" fillId="0" borderId="0" xfId="0" applyNumberFormat="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179" fontId="0" fillId="0" borderId="4" xfId="1" applyNumberFormat="1" applyFont="1" applyFill="1" applyBorder="1">
      <alignment vertical="center"/>
    </xf>
    <xf numFmtId="179" fontId="0" fillId="0" borderId="0" xfId="1" applyNumberFormat="1" applyFont="1" applyFill="1" applyBorder="1">
      <alignment vertical="center"/>
    </xf>
    <xf numFmtId="179" fontId="0" fillId="0" borderId="0" xfId="1" applyNumberFormat="1" applyFont="1" applyFill="1" applyBorder="1" applyAlignment="1">
      <alignment vertical="center" wrapText="1"/>
    </xf>
    <xf numFmtId="179" fontId="0" fillId="0" borderId="4" xfId="1" applyNumberFormat="1" applyFont="1" applyFill="1" applyBorder="1" applyAlignment="1">
      <alignment vertical="center" wrapText="1"/>
    </xf>
    <xf numFmtId="0" fontId="0" fillId="0" borderId="4" xfId="0" applyFill="1" applyBorder="1" applyAlignment="1">
      <alignment horizontal="center" vertical="center" wrapText="1"/>
    </xf>
    <xf numFmtId="0" fontId="3" fillId="0" borderId="0" xfId="0" applyFont="1" applyAlignment="1">
      <alignment horizontal="left" vertical="center"/>
    </xf>
    <xf numFmtId="0" fontId="0" fillId="0" borderId="0" xfId="0" applyAlignment="1">
      <alignment vertical="center"/>
    </xf>
    <xf numFmtId="38" fontId="1" fillId="0" borderId="4" xfId="1" applyFill="1" applyBorder="1" applyAlignment="1">
      <alignment vertical="center" wrapText="1"/>
    </xf>
    <xf numFmtId="38" fontId="1" fillId="0" borderId="0" xfId="1" applyFill="1" applyBorder="1" applyAlignment="1">
      <alignment vertical="center" wrapText="1"/>
    </xf>
    <xf numFmtId="3" fontId="0" fillId="0" borderId="0" xfId="0" applyNumberFormat="1" applyFill="1" applyBorder="1" applyAlignment="1">
      <alignment vertical="center" wrapText="1"/>
    </xf>
    <xf numFmtId="179" fontId="0" fillId="6" borderId="1" xfId="1" applyNumberFormat="1" applyFont="1" applyFill="1" applyBorder="1" applyAlignment="1">
      <alignment horizontal="right" vertical="center"/>
    </xf>
    <xf numFmtId="179" fontId="0" fillId="0" borderId="0" xfId="1" applyNumberFormat="1" applyFont="1" applyFill="1" applyBorder="1" applyAlignment="1">
      <alignment horizontal="right" vertical="center"/>
    </xf>
    <xf numFmtId="0" fontId="0" fillId="0" borderId="28" xfId="0" applyFont="1" applyFill="1" applyBorder="1" applyAlignment="1">
      <alignment horizontal="center" vertical="center"/>
    </xf>
    <xf numFmtId="0" fontId="0" fillId="0" borderId="28" xfId="0" applyFont="1" applyFill="1" applyBorder="1" applyAlignment="1">
      <alignment horizontal="centerContinuous" vertical="center"/>
    </xf>
    <xf numFmtId="185" fontId="0" fillId="0" borderId="0" xfId="0" applyNumberFormat="1" applyAlignment="1">
      <alignment vertical="center" wrapText="1"/>
    </xf>
    <xf numFmtId="179" fontId="0" fillId="6" borderId="13" xfId="1" applyNumberFormat="1" applyFont="1" applyFill="1" applyBorder="1" applyAlignment="1">
      <alignment horizontal="right" vertical="center"/>
    </xf>
    <xf numFmtId="179" fontId="0" fillId="6" borderId="14" xfId="1" applyNumberFormat="1" applyFont="1" applyFill="1" applyBorder="1" applyAlignment="1">
      <alignment horizontal="right" vertical="center"/>
    </xf>
    <xf numFmtId="179" fontId="0" fillId="6" borderId="10" xfId="1" applyNumberFormat="1" applyFont="1" applyFill="1" applyBorder="1" applyAlignment="1">
      <alignment horizontal="right" vertical="center"/>
    </xf>
    <xf numFmtId="0" fontId="0" fillId="0" borderId="0" xfId="0" applyFont="1" applyAlignment="1">
      <alignment vertical="center" wrapText="1"/>
    </xf>
    <xf numFmtId="0" fontId="0" fillId="0" borderId="0" xfId="0" applyFont="1" applyBorder="1" applyAlignment="1">
      <alignment vertical="center" wrapText="1"/>
    </xf>
    <xf numFmtId="1" fontId="0" fillId="0" borderId="0" xfId="0" applyNumberFormat="1" applyFont="1" applyAlignment="1">
      <alignment vertical="center" wrapText="1"/>
    </xf>
    <xf numFmtId="0" fontId="0" fillId="0" borderId="0" xfId="0" applyFont="1" applyAlignment="1">
      <alignment vertical="center"/>
    </xf>
    <xf numFmtId="0" fontId="0" fillId="6" borderId="1" xfId="0" applyFont="1" applyFill="1" applyBorder="1" applyAlignment="1">
      <alignment vertical="center" wrapText="1"/>
    </xf>
    <xf numFmtId="38" fontId="0" fillId="6" borderId="1" xfId="1" applyFont="1" applyFill="1" applyBorder="1" applyAlignment="1">
      <alignment horizontal="right" vertical="center" wrapText="1"/>
    </xf>
    <xf numFmtId="0" fontId="0" fillId="0" borderId="0" xfId="0" applyFont="1" applyFill="1" applyBorder="1" applyAlignment="1">
      <alignment vertical="center"/>
    </xf>
    <xf numFmtId="1" fontId="0" fillId="0" borderId="0" xfId="0" applyNumberFormat="1" applyFont="1" applyBorder="1" applyAlignment="1">
      <alignment vertical="center" wrapText="1"/>
    </xf>
    <xf numFmtId="0" fontId="0" fillId="6" borderId="25" xfId="0" applyFont="1" applyFill="1" applyBorder="1" applyAlignment="1">
      <alignment vertical="center" wrapText="1"/>
    </xf>
    <xf numFmtId="38" fontId="0" fillId="6" borderId="25" xfId="1" applyFont="1" applyFill="1" applyBorder="1" applyAlignment="1">
      <alignment horizontal="right" vertical="center" wrapText="1"/>
    </xf>
    <xf numFmtId="0" fontId="0" fillId="6" borderId="29" xfId="0" applyFont="1" applyFill="1" applyBorder="1" applyAlignment="1">
      <alignment vertical="center" wrapText="1"/>
    </xf>
    <xf numFmtId="38" fontId="0" fillId="6" borderId="8" xfId="1" applyFont="1" applyFill="1" applyBorder="1" applyAlignment="1">
      <alignment horizontal="right" vertical="center" wrapText="1"/>
    </xf>
    <xf numFmtId="38" fontId="0" fillId="6" borderId="12" xfId="1" applyFont="1" applyFill="1" applyBorder="1" applyAlignment="1">
      <alignment horizontal="right" vertical="center" wrapText="1"/>
    </xf>
    <xf numFmtId="0" fontId="0" fillId="6" borderId="30" xfId="0" applyFont="1" applyFill="1" applyBorder="1" applyAlignment="1">
      <alignment vertical="center" wrapText="1"/>
    </xf>
    <xf numFmtId="3" fontId="0" fillId="6" borderId="1" xfId="0" applyNumberFormat="1" applyFont="1" applyFill="1" applyBorder="1" applyAlignment="1">
      <alignment horizontal="right" vertical="center" wrapText="1"/>
    </xf>
    <xf numFmtId="3" fontId="0" fillId="6" borderId="13" xfId="0" applyNumberFormat="1" applyFont="1" applyFill="1" applyBorder="1" applyAlignment="1">
      <alignment horizontal="right" vertical="center" wrapText="1"/>
    </xf>
    <xf numFmtId="0" fontId="0" fillId="0" borderId="6" xfId="0" applyFont="1" applyFill="1" applyBorder="1" applyAlignment="1">
      <alignment vertical="center"/>
    </xf>
    <xf numFmtId="0" fontId="0" fillId="6" borderId="31" xfId="0" applyFont="1" applyFill="1" applyBorder="1" applyAlignment="1">
      <alignment vertical="center" wrapText="1"/>
    </xf>
    <xf numFmtId="0" fontId="0" fillId="0" borderId="0" xfId="0" applyFont="1" applyFill="1" applyBorder="1" applyAlignment="1">
      <alignment vertical="center" wrapText="1"/>
    </xf>
    <xf numFmtId="179" fontId="8" fillId="6" borderId="1" xfId="0" applyNumberFormat="1" applyFont="1" applyFill="1" applyBorder="1" applyAlignment="1"/>
    <xf numFmtId="179" fontId="0" fillId="6" borderId="1" xfId="0" applyNumberFormat="1" applyFont="1" applyFill="1" applyBorder="1" applyAlignment="1">
      <alignment vertical="center" wrapText="1"/>
    </xf>
    <xf numFmtId="179" fontId="0" fillId="6" borderId="2" xfId="0" applyNumberFormat="1" applyFont="1" applyFill="1" applyBorder="1" applyAlignment="1">
      <alignment vertical="center" wrapText="1"/>
    </xf>
    <xf numFmtId="0" fontId="0" fillId="6" borderId="30" xfId="0" applyFont="1" applyFill="1" applyBorder="1" applyAlignment="1">
      <alignment horizontal="center" vertical="center" wrapText="1"/>
    </xf>
    <xf numFmtId="1" fontId="0" fillId="6" borderId="13" xfId="0" applyNumberFormat="1" applyFont="1" applyFill="1" applyBorder="1" applyAlignment="1">
      <alignment horizontal="center" vertical="center" wrapText="1"/>
    </xf>
    <xf numFmtId="179" fontId="0" fillId="6" borderId="30" xfId="0" applyNumberFormat="1" applyFont="1" applyFill="1" applyBorder="1" applyAlignment="1">
      <alignment vertical="center" wrapText="1"/>
    </xf>
    <xf numFmtId="179" fontId="0" fillId="6" borderId="13" xfId="0" applyNumberFormat="1" applyFont="1" applyFill="1" applyBorder="1" applyAlignment="1">
      <alignment vertical="center" wrapText="1"/>
    </xf>
    <xf numFmtId="179" fontId="0" fillId="6" borderId="31" xfId="0" applyNumberFormat="1" applyFont="1" applyFill="1" applyBorder="1" applyAlignment="1">
      <alignment vertical="center" wrapText="1"/>
    </xf>
    <xf numFmtId="179" fontId="0" fillId="6" borderId="10" xfId="0" applyNumberFormat="1" applyFont="1" applyFill="1" applyBorder="1" applyAlignment="1">
      <alignment vertical="center" wrapText="1"/>
    </xf>
    <xf numFmtId="179" fontId="0" fillId="6" borderId="14" xfId="0" applyNumberFormat="1" applyFont="1" applyFill="1" applyBorder="1" applyAlignment="1">
      <alignment vertical="center" wrapText="1"/>
    </xf>
    <xf numFmtId="3" fontId="3" fillId="2" borderId="3" xfId="0" applyNumberFormat="1" applyFont="1" applyFill="1" applyBorder="1" applyAlignment="1">
      <alignment vertical="center" wrapText="1"/>
    </xf>
    <xf numFmtId="38" fontId="3" fillId="2" borderId="1" xfId="1" applyFont="1" applyFill="1" applyBorder="1" applyAlignment="1">
      <alignment vertical="center" wrapText="1"/>
    </xf>
    <xf numFmtId="38" fontId="3" fillId="3" borderId="1" xfId="1" applyFont="1" applyFill="1" applyBorder="1" applyAlignment="1">
      <alignment vertical="center" wrapText="1"/>
    </xf>
    <xf numFmtId="3" fontId="3" fillId="3" borderId="1" xfId="0" applyNumberFormat="1" applyFont="1" applyFill="1" applyBorder="1" applyAlignment="1">
      <alignment vertical="center" wrapText="1"/>
    </xf>
    <xf numFmtId="3" fontId="3" fillId="2" borderId="1" xfId="0" applyNumberFormat="1" applyFont="1" applyFill="1" applyBorder="1" applyAlignment="1">
      <alignment vertical="center" wrapText="1"/>
    </xf>
    <xf numFmtId="0" fontId="3" fillId="0" borderId="1" xfId="0" applyFont="1" applyBorder="1" applyAlignment="1">
      <alignment horizontal="center" vertical="center" wrapText="1"/>
    </xf>
    <xf numFmtId="179" fontId="3" fillId="0" borderId="1" xfId="1" applyNumberFormat="1" applyFont="1" applyFill="1" applyBorder="1">
      <alignment vertical="center"/>
    </xf>
    <xf numFmtId="179" fontId="3" fillId="4" borderId="1" xfId="1" applyNumberFormat="1" applyFont="1" applyFill="1" applyBorder="1">
      <alignment vertical="center"/>
    </xf>
    <xf numFmtId="10" fontId="3" fillId="4" borderId="1" xfId="1" applyNumberFormat="1" applyFont="1" applyFill="1" applyBorder="1">
      <alignment vertical="center"/>
    </xf>
    <xf numFmtId="179" fontId="3" fillId="0" borderId="1" xfId="1" applyNumberFormat="1" applyFont="1" applyFill="1" applyBorder="1" applyAlignment="1">
      <alignment vertical="center" wrapText="1"/>
    </xf>
    <xf numFmtId="179" fontId="3" fillId="4" borderId="1" xfId="1" applyNumberFormat="1" applyFont="1" applyFill="1" applyBorder="1" applyAlignment="1">
      <alignment vertical="center" wrapText="1"/>
    </xf>
    <xf numFmtId="10" fontId="3" fillId="4" borderId="1" xfId="1" applyNumberFormat="1" applyFont="1" applyFill="1" applyBorder="1" applyAlignment="1">
      <alignment vertical="center" wrapText="1"/>
    </xf>
    <xf numFmtId="0" fontId="9" fillId="0" borderId="0" xfId="0" applyFont="1" applyAlignment="1">
      <alignment vertical="center" wrapText="1"/>
    </xf>
    <xf numFmtId="0" fontId="5" fillId="0" borderId="0" xfId="0" applyFont="1" applyFill="1" applyBorder="1" applyAlignment="1">
      <alignment vertical="center"/>
    </xf>
    <xf numFmtId="0" fontId="10" fillId="0" borderId="0" xfId="0" applyFont="1">
      <alignment vertical="center"/>
    </xf>
    <xf numFmtId="0" fontId="11" fillId="0" borderId="0" xfId="0" applyFont="1">
      <alignment vertical="center"/>
    </xf>
    <xf numFmtId="0" fontId="0" fillId="0" borderId="1" xfId="0" applyBorder="1" applyAlignment="1">
      <alignment horizontal="center" vertical="center" wrapText="1"/>
    </xf>
    <xf numFmtId="0" fontId="0" fillId="6" borderId="1"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6" borderId="2" xfId="0" applyFont="1" applyFill="1" applyBorder="1" applyAlignment="1">
      <alignment vertical="center" wrapText="1"/>
    </xf>
    <xf numFmtId="0" fontId="0" fillId="0" borderId="0" xfId="0" applyFill="1" applyBorder="1" applyAlignment="1">
      <alignment vertical="center"/>
    </xf>
    <xf numFmtId="0" fontId="0" fillId="0" borderId="6" xfId="0" applyFill="1" applyBorder="1" applyAlignment="1">
      <alignment vertical="center"/>
    </xf>
    <xf numFmtId="0" fontId="0" fillId="6" borderId="20" xfId="0" applyFont="1" applyFill="1" applyBorder="1" applyAlignment="1">
      <alignment vertical="center" wrapText="1"/>
    </xf>
    <xf numFmtId="0" fontId="0" fillId="6" borderId="29" xfId="0" applyFont="1" applyFill="1" applyBorder="1" applyAlignment="1">
      <alignment horizontal="right" vertical="center" wrapText="1"/>
    </xf>
    <xf numFmtId="0" fontId="0" fillId="6" borderId="12" xfId="0" applyFont="1" applyFill="1" applyBorder="1" applyAlignment="1">
      <alignment horizontal="right" vertical="center" wrapText="1"/>
    </xf>
    <xf numFmtId="0" fontId="0" fillId="6" borderId="30" xfId="0" applyFont="1" applyFill="1" applyBorder="1" applyAlignment="1">
      <alignment horizontal="right" vertical="center" wrapText="1"/>
    </xf>
    <xf numFmtId="0" fontId="0" fillId="6" borderId="13" xfId="0" applyFont="1" applyFill="1" applyBorder="1" applyAlignment="1">
      <alignment horizontal="right" vertical="center" wrapText="1"/>
    </xf>
    <xf numFmtId="179" fontId="0" fillId="6" borderId="30" xfId="0" applyNumberFormat="1" applyFont="1" applyFill="1" applyBorder="1" applyAlignment="1">
      <alignment horizontal="right" vertical="center" wrapText="1"/>
    </xf>
    <xf numFmtId="3" fontId="0" fillId="6" borderId="13" xfId="0" applyNumberFormat="1" applyFont="1" applyFill="1" applyBorder="1" applyAlignment="1">
      <alignment vertical="center" wrapText="1"/>
    </xf>
    <xf numFmtId="179" fontId="0" fillId="6" borderId="30" xfId="1" applyNumberFormat="1" applyFont="1" applyFill="1" applyBorder="1" applyAlignment="1">
      <alignment horizontal="right" vertical="center" wrapText="1"/>
    </xf>
    <xf numFmtId="38" fontId="0" fillId="6" borderId="13" xfId="1" applyFont="1" applyFill="1" applyBorder="1" applyAlignment="1">
      <alignment vertical="center" wrapText="1"/>
    </xf>
    <xf numFmtId="179" fontId="0" fillId="6" borderId="34" xfId="1" applyNumberFormat="1" applyFont="1" applyFill="1" applyBorder="1" applyAlignment="1">
      <alignment horizontal="right" vertical="center" wrapText="1"/>
    </xf>
    <xf numFmtId="179" fontId="0" fillId="6" borderId="18" xfId="1" applyNumberFormat="1" applyFont="1" applyFill="1" applyBorder="1" applyAlignment="1">
      <alignment horizontal="right" vertical="center" wrapText="1"/>
    </xf>
    <xf numFmtId="179" fontId="0" fillId="6" borderId="18" xfId="0" applyNumberFormat="1" applyFont="1" applyFill="1" applyBorder="1" applyAlignment="1">
      <alignment horizontal="right" vertical="center" wrapText="1"/>
    </xf>
    <xf numFmtId="179" fontId="0" fillId="6" borderId="18" xfId="1" applyNumberFormat="1" applyFont="1" applyFill="1" applyBorder="1" applyAlignment="1">
      <alignment horizontal="right" vertical="center"/>
    </xf>
    <xf numFmtId="179" fontId="0" fillId="6" borderId="17" xfId="1" applyNumberFormat="1" applyFont="1" applyFill="1" applyBorder="1" applyAlignment="1">
      <alignment horizontal="right" vertical="center"/>
    </xf>
    <xf numFmtId="9" fontId="0" fillId="0" borderId="0" xfId="0" applyNumberFormat="1" applyFont="1" applyFill="1" applyBorder="1" applyAlignment="1">
      <alignment vertical="center"/>
    </xf>
    <xf numFmtId="0" fontId="0" fillId="0" borderId="20" xfId="0" applyBorder="1" applyAlignment="1">
      <alignment horizontal="left" vertical="center" wrapText="1"/>
    </xf>
    <xf numFmtId="0" fontId="0" fillId="0" borderId="16" xfId="0" applyBorder="1" applyAlignment="1">
      <alignment horizontal="left" vertical="center"/>
    </xf>
    <xf numFmtId="0" fontId="0" fillId="0" borderId="21"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0" fillId="0" borderId="33" xfId="0" applyBorder="1" applyAlignment="1">
      <alignment horizontal="left" vertical="center"/>
    </xf>
    <xf numFmtId="0" fontId="0" fillId="0" borderId="23" xfId="0" applyBorder="1" applyAlignment="1">
      <alignment horizontal="left" vertical="center"/>
    </xf>
    <xf numFmtId="49" fontId="0" fillId="0" borderId="20" xfId="0" applyNumberFormat="1" applyBorder="1" applyAlignment="1">
      <alignment horizontal="center" vertical="center" wrapText="1"/>
    </xf>
    <xf numFmtId="49" fontId="0" fillId="0" borderId="21"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22" xfId="0" applyNumberFormat="1" applyBorder="1" applyAlignment="1">
      <alignment horizontal="center" vertical="center" wrapText="1"/>
    </xf>
    <xf numFmtId="49" fontId="0" fillId="0" borderId="23"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2" borderId="1" xfId="0" applyFill="1" applyBorder="1" applyAlignment="1">
      <alignment horizontal="left" vertical="center" wrapText="1"/>
    </xf>
    <xf numFmtId="0" fontId="0" fillId="0" borderId="16" xfId="0" applyBorder="1" applyAlignment="1">
      <alignmen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9" fillId="0" borderId="0" xfId="0" applyFont="1" applyAlignment="1">
      <alignment horizontal="center" vertical="center" wrapText="1"/>
    </xf>
    <xf numFmtId="0" fontId="0" fillId="0" borderId="19" xfId="0" applyFont="1" applyFill="1" applyBorder="1" applyAlignment="1">
      <alignment horizontal="center" vertical="center"/>
    </xf>
    <xf numFmtId="0" fontId="0" fillId="0" borderId="7" xfId="0" applyFont="1" applyFill="1" applyBorder="1" applyAlignment="1">
      <alignment horizontal="center" vertical="center"/>
    </xf>
    <xf numFmtId="1" fontId="0" fillId="0" borderId="0" xfId="0" applyNumberFormat="1" applyAlignment="1">
      <alignment horizontal="center" vertical="center" wrapText="1"/>
    </xf>
    <xf numFmtId="0" fontId="0" fillId="0" borderId="0" xfId="0" applyBorder="1" applyAlignment="1">
      <alignment vertical="center" wrapText="1"/>
    </xf>
    <xf numFmtId="0" fontId="4" fillId="0" borderId="6" xfId="0" applyFont="1" applyBorder="1" applyAlignment="1">
      <alignment horizontal="left" vertical="center" wrapText="1"/>
    </xf>
    <xf numFmtId="0" fontId="0" fillId="0" borderId="1" xfId="0" applyBorder="1" applyAlignment="1">
      <alignment horizontal="center"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3" xfId="0" applyFill="1" applyBorder="1" applyAlignment="1">
      <alignment horizontal="left" vertical="center" wrapText="1"/>
    </xf>
    <xf numFmtId="0" fontId="3" fillId="0" borderId="1" xfId="0" applyFont="1" applyBorder="1" applyAlignment="1">
      <alignment horizontal="center" vertical="center" wrapText="1"/>
    </xf>
    <xf numFmtId="0" fontId="0" fillId="0" borderId="15" xfId="0" applyFont="1" applyFill="1" applyBorder="1" applyAlignment="1">
      <alignment horizontal="center" vertical="center"/>
    </xf>
    <xf numFmtId="0" fontId="0" fillId="0" borderId="4" xfId="0"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horizontal="left" vertical="center" wrapText="1"/>
    </xf>
    <xf numFmtId="0" fontId="0" fillId="0" borderId="18" xfId="0" applyFill="1" applyBorder="1" applyAlignment="1">
      <alignment horizontal="center" vertical="center"/>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0" fillId="0" borderId="9" xfId="0" applyFill="1" applyBorder="1" applyAlignment="1">
      <alignment horizontal="center" vertical="center"/>
    </xf>
    <xf numFmtId="49" fontId="0" fillId="0" borderId="2" xfId="0" applyNumberFormat="1" applyBorder="1" applyAlignment="1">
      <alignment horizontal="left" vertical="center" wrapText="1"/>
    </xf>
    <xf numFmtId="49" fontId="0" fillId="0" borderId="5" xfId="0" applyNumberFormat="1" applyBorder="1" applyAlignment="1">
      <alignment horizontal="left" vertical="center" wrapText="1"/>
    </xf>
    <xf numFmtId="49" fontId="0" fillId="0" borderId="3" xfId="0" applyNumberFormat="1" applyBorder="1" applyAlignment="1">
      <alignment horizontal="left" vertical="center" wrapText="1"/>
    </xf>
    <xf numFmtId="0" fontId="0" fillId="6" borderId="25" xfId="0" applyFont="1" applyFill="1" applyBorder="1" applyAlignment="1">
      <alignment horizontal="center" vertical="center" wrapText="1"/>
    </xf>
    <xf numFmtId="0" fontId="0" fillId="6" borderId="26"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6" borderId="28"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6" fillId="0" borderId="0" xfId="0" applyFont="1" applyAlignment="1">
      <alignment horizontal="center"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left" vertical="center" wrapText="1"/>
    </xf>
    <xf numFmtId="0" fontId="0" fillId="6" borderId="27"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5" borderId="1" xfId="0" applyFill="1" applyBorder="1" applyAlignment="1">
      <alignment horizontal="center" vertical="center"/>
    </xf>
    <xf numFmtId="0" fontId="0" fillId="5" borderId="25" xfId="0" applyFill="1" applyBorder="1" applyAlignment="1">
      <alignment horizontal="center" vertical="center"/>
    </xf>
    <xf numFmtId="0" fontId="0" fillId="5" borderId="27" xfId="0" applyFill="1" applyBorder="1" applyAlignment="1">
      <alignment horizontal="center" vertical="center"/>
    </xf>
    <xf numFmtId="0" fontId="0" fillId="5" borderId="2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276225</xdr:colOff>
      <xdr:row>0</xdr:row>
      <xdr:rowOff>47625</xdr:rowOff>
    </xdr:from>
    <xdr:to>
      <xdr:col>8</xdr:col>
      <xdr:colOff>628650</xdr:colOff>
      <xdr:row>1</xdr:row>
      <xdr:rowOff>143556</xdr:rowOff>
    </xdr:to>
    <xdr:sp macro="" textlink="">
      <xdr:nvSpPr>
        <xdr:cNvPr id="2" name="テキスト ボックス 2"/>
        <xdr:cNvSpPr txBox="1">
          <a:spLocks noChangeArrowheads="1"/>
        </xdr:cNvSpPr>
      </xdr:nvSpPr>
      <xdr:spPr bwMode="auto">
        <a:xfrm>
          <a:off x="5076825" y="47625"/>
          <a:ext cx="1038225"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ゴシック"/>
              <a:cs typeface="Times New Roman"/>
            </a:rPr>
            <a:t>資料</a:t>
          </a:r>
          <a:r>
            <a:rPr lang="ja-JP" altLang="en-US" sz="1050" kern="100">
              <a:effectLst/>
              <a:latin typeface="Century"/>
              <a:ea typeface="ＭＳ ゴシック"/>
              <a:cs typeface="Times New Roman"/>
            </a:rPr>
            <a:t>４</a:t>
          </a:r>
          <a:endParaRPr lang="en-US" altLang="ja-JP" sz="1050" kern="100">
            <a:effectLst/>
            <a:latin typeface="Century"/>
            <a:ea typeface="ＭＳ ゴシック"/>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44824</xdr:colOff>
      <xdr:row>1</xdr:row>
      <xdr:rowOff>414617</xdr:rowOff>
    </xdr:from>
    <xdr:to>
      <xdr:col>18</xdr:col>
      <xdr:colOff>762001</xdr:colOff>
      <xdr:row>11</xdr:row>
      <xdr:rowOff>44823</xdr:rowOff>
    </xdr:to>
    <xdr:sp macro="" textlink="">
      <xdr:nvSpPr>
        <xdr:cNvPr id="2" name="正方形/長方形 1"/>
        <xdr:cNvSpPr/>
      </xdr:nvSpPr>
      <xdr:spPr>
        <a:xfrm>
          <a:off x="44824" y="750793"/>
          <a:ext cx="13413442" cy="1613648"/>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j-ea"/>
              <a:ea typeface="+mj-ea"/>
            </a:rPr>
            <a:t>○第２次大阪府社会的養護体制整備計画では、過去６年間（平成１９年度～２４年度）の全国児童人口と大阪府児童人口を回帰分析して算出した係数をもとに、国</a:t>
          </a:r>
          <a:endParaRPr kumimoji="1" lang="en-US" altLang="ja-JP" sz="1400">
            <a:solidFill>
              <a:schemeClr val="tx1"/>
            </a:solidFill>
            <a:latin typeface="+mj-ea"/>
            <a:ea typeface="+mj-ea"/>
          </a:endParaRPr>
        </a:p>
        <a:p>
          <a:pPr algn="l"/>
          <a:r>
            <a:rPr kumimoji="1" lang="ja-JP" altLang="en-US" sz="1400">
              <a:solidFill>
                <a:schemeClr val="tx1"/>
              </a:solidFill>
              <a:latin typeface="+mj-ea"/>
              <a:ea typeface="+mj-ea"/>
            </a:rPr>
            <a:t>　立社会保障・人口問題研究所の全国の児童人口の将来推計から大阪府の児童人口の将来推計を算出した。</a:t>
          </a:r>
          <a:endParaRPr kumimoji="1" lang="en-US" altLang="ja-JP" sz="1400">
            <a:solidFill>
              <a:schemeClr val="tx1"/>
            </a:solidFill>
            <a:latin typeface="+mj-ea"/>
            <a:ea typeface="+mj-ea"/>
          </a:endParaRPr>
        </a:p>
        <a:p>
          <a:pPr algn="l"/>
          <a:r>
            <a:rPr kumimoji="1" lang="ja-JP" altLang="en-US" sz="1400">
              <a:solidFill>
                <a:schemeClr val="tx1"/>
              </a:solidFill>
              <a:latin typeface="+mj-ea"/>
              <a:ea typeface="+mj-ea"/>
            </a:rPr>
            <a:t>○</a:t>
          </a:r>
          <a:r>
            <a:rPr kumimoji="1" lang="ja-JP" altLang="ja-JP" sz="1400">
              <a:solidFill>
                <a:schemeClr val="tx1"/>
              </a:solidFill>
              <a:effectLst/>
              <a:latin typeface="+mj-ea"/>
              <a:ea typeface="+mj-ea"/>
              <a:cs typeface="+mn-cs"/>
            </a:rPr>
            <a:t>大阪府の</a:t>
          </a:r>
          <a:r>
            <a:rPr kumimoji="1" lang="ja-JP" altLang="en-US"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代替養育を必要とする子ども数</a:t>
          </a:r>
          <a:r>
            <a:rPr kumimoji="1" lang="ja-JP" altLang="en-US"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の見込</a:t>
          </a:r>
          <a:r>
            <a:rPr kumimoji="1" lang="ja-JP" altLang="en-US" sz="1400">
              <a:solidFill>
                <a:schemeClr val="tx1"/>
              </a:solidFill>
              <a:effectLst/>
              <a:latin typeface="+mj-ea"/>
              <a:ea typeface="+mj-ea"/>
              <a:cs typeface="+mn-cs"/>
            </a:rPr>
            <a:t>みは、</a:t>
          </a:r>
          <a:r>
            <a:rPr kumimoji="1" lang="ja-JP" altLang="en-US" sz="1400">
              <a:solidFill>
                <a:schemeClr val="tx1"/>
              </a:solidFill>
              <a:latin typeface="+mj-ea"/>
              <a:ea typeface="+mj-ea"/>
            </a:rPr>
            <a:t>この将来推計と、過去１５年間（平成１１年度～２５年度）の大阪府児童人口と大阪府の要保護児童数の</a:t>
          </a:r>
          <a:endParaRPr kumimoji="1" lang="en-US" altLang="ja-JP" sz="1400">
            <a:solidFill>
              <a:schemeClr val="tx1"/>
            </a:solidFill>
            <a:latin typeface="+mj-ea"/>
            <a:ea typeface="+mj-ea"/>
          </a:endParaRPr>
        </a:p>
        <a:p>
          <a:pPr algn="l"/>
          <a:r>
            <a:rPr kumimoji="1" lang="ja-JP" altLang="en-US" sz="1400">
              <a:solidFill>
                <a:schemeClr val="tx1"/>
              </a:solidFill>
              <a:latin typeface="+mj-ea"/>
              <a:ea typeface="+mj-ea"/>
            </a:rPr>
            <a:t>　回帰分析による係数から算出している。</a:t>
          </a:r>
          <a:endParaRPr kumimoji="1" lang="en-US" altLang="ja-JP" sz="1400">
            <a:solidFill>
              <a:schemeClr val="tx1"/>
            </a:solidFill>
            <a:latin typeface="+mj-ea"/>
            <a:ea typeface="+mj-ea"/>
          </a:endParaRPr>
        </a:p>
        <a:p>
          <a:pPr algn="l"/>
          <a:r>
            <a:rPr kumimoji="1" lang="ja-JP" altLang="en-US" sz="1400">
              <a:solidFill>
                <a:schemeClr val="tx1"/>
              </a:solidFill>
              <a:latin typeface="+mj-ea"/>
              <a:ea typeface="+mj-ea"/>
            </a:rPr>
            <a:t>○第３次計画の策定に当たり、これら推計の適合率を検証したところ、算出された平成２６年度から平成２９年度までの推計は、児童人口も</a:t>
          </a:r>
          <a:r>
            <a:rPr kumimoji="1" lang="ja-JP" altLang="ja-JP" sz="1400">
              <a:solidFill>
                <a:schemeClr val="tx1"/>
              </a:solidFill>
              <a:effectLst/>
              <a:latin typeface="+mj-ea"/>
              <a:ea typeface="+mj-ea"/>
              <a:cs typeface="+mn-cs"/>
            </a:rPr>
            <a:t>「代替養育を必要とする</a:t>
          </a:r>
          <a:endParaRPr kumimoji="1" lang="en-US" altLang="ja-JP" sz="1400">
            <a:solidFill>
              <a:schemeClr val="tx1"/>
            </a:solidFill>
            <a:effectLst/>
            <a:latin typeface="+mj-ea"/>
            <a:ea typeface="+mj-ea"/>
            <a:cs typeface="+mn-cs"/>
          </a:endParaRPr>
        </a:p>
        <a:p>
          <a:pPr algn="l"/>
          <a:r>
            <a:rPr kumimoji="1" lang="ja-JP" altLang="en-US" sz="1400">
              <a:solidFill>
                <a:schemeClr val="tx1"/>
              </a:solidFill>
              <a:effectLst/>
              <a:latin typeface="+mj-ea"/>
              <a:ea typeface="+mj-ea"/>
              <a:cs typeface="+mn-cs"/>
            </a:rPr>
            <a:t>　</a:t>
          </a:r>
          <a:r>
            <a:rPr kumimoji="1" lang="ja-JP" altLang="ja-JP" sz="1400">
              <a:solidFill>
                <a:schemeClr val="tx1"/>
              </a:solidFill>
              <a:effectLst/>
              <a:latin typeface="+mj-ea"/>
              <a:ea typeface="+mj-ea"/>
              <a:cs typeface="+mn-cs"/>
            </a:rPr>
            <a:t>子ども数</a:t>
          </a:r>
          <a:r>
            <a:rPr kumimoji="1" lang="ja-JP" altLang="en-US"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要保護児童数</a:t>
          </a:r>
          <a:r>
            <a:rPr kumimoji="1" lang="ja-JP" altLang="en-US"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a:t>
          </a:r>
          <a:r>
            <a:rPr kumimoji="1" lang="ja-JP" altLang="en-US" sz="1400">
              <a:solidFill>
                <a:schemeClr val="tx1"/>
              </a:solidFill>
              <a:latin typeface="+mj-ea"/>
              <a:ea typeface="+mj-ea"/>
            </a:rPr>
            <a:t>も９０％以上の適合率で推移している。</a:t>
          </a:r>
          <a:endParaRPr kumimoji="1" lang="en-US" altLang="ja-JP" sz="1400">
            <a:solidFill>
              <a:schemeClr val="tx1"/>
            </a:solidFill>
            <a:latin typeface="+mj-ea"/>
            <a:ea typeface="+mj-ea"/>
          </a:endParaRPr>
        </a:p>
        <a:p>
          <a:pPr algn="l"/>
          <a:endParaRPr kumimoji="1" lang="ja-JP" altLang="en-US" sz="1200">
            <a:solidFill>
              <a:schemeClr val="tx1"/>
            </a:solidFill>
            <a:latin typeface="+mj-ea"/>
            <a:ea typeface="+mj-ea"/>
          </a:endParaRPr>
        </a:p>
      </xdr:txBody>
    </xdr:sp>
    <xdr:clientData/>
  </xdr:twoCellAnchor>
  <xdr:twoCellAnchor>
    <xdr:from>
      <xdr:col>2</xdr:col>
      <xdr:colOff>11206</xdr:colOff>
      <xdr:row>18</xdr:row>
      <xdr:rowOff>313765</xdr:rowOff>
    </xdr:from>
    <xdr:to>
      <xdr:col>6</xdr:col>
      <xdr:colOff>493059</xdr:colOff>
      <xdr:row>18</xdr:row>
      <xdr:rowOff>549089</xdr:rowOff>
    </xdr:to>
    <xdr:sp macro="" textlink="">
      <xdr:nvSpPr>
        <xdr:cNvPr id="3" name="二等辺三角形 2"/>
        <xdr:cNvSpPr/>
      </xdr:nvSpPr>
      <xdr:spPr>
        <a:xfrm rot="10800000">
          <a:off x="649941" y="4090147"/>
          <a:ext cx="3227294" cy="235324"/>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19</xdr:row>
      <xdr:rowOff>22412</xdr:rowOff>
    </xdr:from>
    <xdr:to>
      <xdr:col>8</xdr:col>
      <xdr:colOff>425824</xdr:colOff>
      <xdr:row>26</xdr:row>
      <xdr:rowOff>11206</xdr:rowOff>
    </xdr:to>
    <xdr:sp macro="" textlink="">
      <xdr:nvSpPr>
        <xdr:cNvPr id="4" name="右中かっこ 3"/>
        <xdr:cNvSpPr/>
      </xdr:nvSpPr>
      <xdr:spPr>
        <a:xfrm>
          <a:off x="5121088" y="4953000"/>
          <a:ext cx="235324" cy="2935941"/>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762000</xdr:colOff>
      <xdr:row>20</xdr:row>
      <xdr:rowOff>291353</xdr:rowOff>
    </xdr:from>
    <xdr:to>
      <xdr:col>11</xdr:col>
      <xdr:colOff>324970</xdr:colOff>
      <xdr:row>24</xdr:row>
      <xdr:rowOff>268941</xdr:rowOff>
    </xdr:to>
    <xdr:sp macro="" textlink="">
      <xdr:nvSpPr>
        <xdr:cNvPr id="5" name="正方形/長方形 4"/>
        <xdr:cNvSpPr/>
      </xdr:nvSpPr>
      <xdr:spPr>
        <a:xfrm>
          <a:off x="5692588" y="5546912"/>
          <a:ext cx="1916206" cy="1725705"/>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概ね推計通りの　</a:t>
          </a:r>
          <a:endParaRPr kumimoji="1" lang="en-US" altLang="ja-JP" sz="1400">
            <a:solidFill>
              <a:schemeClr val="tx1"/>
            </a:solidFill>
          </a:endParaRPr>
        </a:p>
        <a:p>
          <a:pPr algn="ctr"/>
          <a:r>
            <a:rPr kumimoji="1" lang="ja-JP" altLang="en-US" sz="1400">
              <a:solidFill>
                <a:schemeClr val="tx1"/>
              </a:solidFill>
            </a:rPr>
            <a:t>実績値で推移</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57150</xdr:colOff>
      <xdr:row>11</xdr:row>
      <xdr:rowOff>171450</xdr:rowOff>
    </xdr:from>
    <xdr:to>
      <xdr:col>3</xdr:col>
      <xdr:colOff>190500</xdr:colOff>
      <xdr:row>18</xdr:row>
      <xdr:rowOff>38100</xdr:rowOff>
    </xdr:to>
    <xdr:sp macro="" textlink="">
      <xdr:nvSpPr>
        <xdr:cNvPr id="2" name="右大かっこ 1"/>
        <xdr:cNvSpPr/>
      </xdr:nvSpPr>
      <xdr:spPr>
        <a:xfrm>
          <a:off x="2771775" y="2876550"/>
          <a:ext cx="133350" cy="11049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342900</xdr:colOff>
      <xdr:row>13</xdr:row>
      <xdr:rowOff>95250</xdr:rowOff>
    </xdr:from>
    <xdr:to>
      <xdr:col>3</xdr:col>
      <xdr:colOff>590550</xdr:colOff>
      <xdr:row>16</xdr:row>
      <xdr:rowOff>123825</xdr:rowOff>
    </xdr:to>
    <xdr:sp macro="" textlink="">
      <xdr:nvSpPr>
        <xdr:cNvPr id="3" name="右矢印 2"/>
        <xdr:cNvSpPr/>
      </xdr:nvSpPr>
      <xdr:spPr>
        <a:xfrm>
          <a:off x="3057525" y="3152775"/>
          <a:ext cx="247650"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19</xdr:row>
      <xdr:rowOff>47625</xdr:rowOff>
    </xdr:from>
    <xdr:to>
      <xdr:col>9</xdr:col>
      <xdr:colOff>7844</xdr:colOff>
      <xdr:row>20</xdr:row>
      <xdr:rowOff>111499</xdr:rowOff>
    </xdr:to>
    <xdr:sp macro="" textlink="">
      <xdr:nvSpPr>
        <xdr:cNvPr id="4" name="二等辺三角形 3"/>
        <xdr:cNvSpPr/>
      </xdr:nvSpPr>
      <xdr:spPr>
        <a:xfrm rot="10800000">
          <a:off x="4314825" y="4162425"/>
          <a:ext cx="3227294" cy="235324"/>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26</xdr:row>
      <xdr:rowOff>104774</xdr:rowOff>
    </xdr:from>
    <xdr:to>
      <xdr:col>8</xdr:col>
      <xdr:colOff>741269</xdr:colOff>
      <xdr:row>26</xdr:row>
      <xdr:rowOff>263897</xdr:rowOff>
    </xdr:to>
    <xdr:sp macro="" textlink="">
      <xdr:nvSpPr>
        <xdr:cNvPr id="6" name="二等辺三角形 5"/>
        <xdr:cNvSpPr/>
      </xdr:nvSpPr>
      <xdr:spPr>
        <a:xfrm rot="10800000">
          <a:off x="4276725" y="5410199"/>
          <a:ext cx="3227294" cy="159123"/>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85725</xdr:colOff>
      <xdr:row>7</xdr:row>
      <xdr:rowOff>19050</xdr:rowOff>
    </xdr:from>
    <xdr:to>
      <xdr:col>3</xdr:col>
      <xdr:colOff>131444</xdr:colOff>
      <xdr:row>25</xdr:row>
      <xdr:rowOff>161925</xdr:rowOff>
    </xdr:to>
    <xdr:sp macro="" textlink="">
      <xdr:nvSpPr>
        <xdr:cNvPr id="2" name="右大かっこ 1"/>
        <xdr:cNvSpPr/>
      </xdr:nvSpPr>
      <xdr:spPr>
        <a:xfrm>
          <a:off x="2800350" y="2038350"/>
          <a:ext cx="45719" cy="3248025"/>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361950</xdr:colOff>
      <xdr:row>19</xdr:row>
      <xdr:rowOff>57150</xdr:rowOff>
    </xdr:from>
    <xdr:to>
      <xdr:col>3</xdr:col>
      <xdr:colOff>571500</xdr:colOff>
      <xdr:row>23</xdr:row>
      <xdr:rowOff>0</xdr:rowOff>
    </xdr:to>
    <xdr:sp macro="" textlink="">
      <xdr:nvSpPr>
        <xdr:cNvPr id="7" name="右矢印 6"/>
        <xdr:cNvSpPr/>
      </xdr:nvSpPr>
      <xdr:spPr>
        <a:xfrm>
          <a:off x="3076575" y="4133850"/>
          <a:ext cx="209550" cy="647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36"/>
  <sheetViews>
    <sheetView tabSelected="1" workbookViewId="0">
      <selection activeCell="K3" sqref="K3"/>
    </sheetView>
  </sheetViews>
  <sheetFormatPr defaultRowHeight="13.5"/>
  <sheetData>
    <row r="3" spans="1:9" ht="14.25">
      <c r="A3" s="68" t="s">
        <v>170</v>
      </c>
    </row>
    <row r="4" spans="1:9" ht="14.25">
      <c r="A4" s="68"/>
    </row>
    <row r="6" spans="1:9" ht="14.25">
      <c r="A6" s="133" t="s">
        <v>171</v>
      </c>
      <c r="B6" s="134"/>
      <c r="C6" s="134"/>
      <c r="D6" s="134"/>
    </row>
    <row r="7" spans="1:9" ht="14.25">
      <c r="A7" s="68"/>
    </row>
    <row r="8" spans="1:9" ht="14.25">
      <c r="A8" s="133" t="s">
        <v>183</v>
      </c>
    </row>
    <row r="9" spans="1:9" ht="14.25">
      <c r="A9" s="68"/>
    </row>
    <row r="10" spans="1:9" ht="14.25">
      <c r="A10" s="68" t="s">
        <v>173</v>
      </c>
    </row>
    <row r="11" spans="1:9" ht="14.25">
      <c r="A11" s="68" t="s">
        <v>174</v>
      </c>
    </row>
    <row r="12" spans="1:9" ht="14.25">
      <c r="A12" s="68"/>
    </row>
    <row r="13" spans="1:9" ht="14.25">
      <c r="A13" s="68" t="s">
        <v>172</v>
      </c>
    </row>
    <row r="14" spans="1:9" ht="13.5" customHeight="1">
      <c r="A14" s="8"/>
      <c r="B14" s="8"/>
      <c r="C14" s="78"/>
      <c r="D14" s="78"/>
      <c r="E14" s="78"/>
      <c r="F14" s="78"/>
      <c r="G14" s="78"/>
      <c r="H14" s="78"/>
      <c r="I14" s="78"/>
    </row>
    <row r="15" spans="1:9">
      <c r="A15" s="157" t="s">
        <v>175</v>
      </c>
      <c r="B15" s="158"/>
      <c r="C15" s="158"/>
      <c r="D15" s="158"/>
      <c r="E15" s="158"/>
      <c r="F15" s="158"/>
      <c r="G15" s="158"/>
      <c r="H15" s="158"/>
      <c r="I15" s="159"/>
    </row>
    <row r="16" spans="1:9">
      <c r="A16" s="160"/>
      <c r="B16" s="161"/>
      <c r="C16" s="161"/>
      <c r="D16" s="161"/>
      <c r="E16" s="161"/>
      <c r="F16" s="161"/>
      <c r="G16" s="161"/>
      <c r="H16" s="161"/>
      <c r="I16" s="162"/>
    </row>
    <row r="17" spans="1:9">
      <c r="A17" s="160"/>
      <c r="B17" s="161"/>
      <c r="C17" s="161"/>
      <c r="D17" s="161"/>
      <c r="E17" s="161"/>
      <c r="F17" s="161"/>
      <c r="G17" s="161"/>
      <c r="H17" s="161"/>
      <c r="I17" s="162"/>
    </row>
    <row r="18" spans="1:9">
      <c r="A18" s="160"/>
      <c r="B18" s="161"/>
      <c r="C18" s="161"/>
      <c r="D18" s="161"/>
      <c r="E18" s="161"/>
      <c r="F18" s="161"/>
      <c r="G18" s="161"/>
      <c r="H18" s="161"/>
      <c r="I18" s="162"/>
    </row>
    <row r="19" spans="1:9">
      <c r="A19" s="160"/>
      <c r="B19" s="161"/>
      <c r="C19" s="161"/>
      <c r="D19" s="161"/>
      <c r="E19" s="161"/>
      <c r="F19" s="161"/>
      <c r="G19" s="161"/>
      <c r="H19" s="161"/>
      <c r="I19" s="162"/>
    </row>
    <row r="20" spans="1:9">
      <c r="A20" s="160"/>
      <c r="B20" s="161"/>
      <c r="C20" s="161"/>
      <c r="D20" s="161"/>
      <c r="E20" s="161"/>
      <c r="F20" s="161"/>
      <c r="G20" s="161"/>
      <c r="H20" s="161"/>
      <c r="I20" s="162"/>
    </row>
    <row r="21" spans="1:9">
      <c r="A21" s="160"/>
      <c r="B21" s="161"/>
      <c r="C21" s="161"/>
      <c r="D21" s="161"/>
      <c r="E21" s="161"/>
      <c r="F21" s="161"/>
      <c r="G21" s="161"/>
      <c r="H21" s="161"/>
      <c r="I21" s="162"/>
    </row>
    <row r="22" spans="1:9">
      <c r="A22" s="160"/>
      <c r="B22" s="161"/>
      <c r="C22" s="161"/>
      <c r="D22" s="161"/>
      <c r="E22" s="161"/>
      <c r="F22" s="161"/>
      <c r="G22" s="161"/>
      <c r="H22" s="161"/>
      <c r="I22" s="162"/>
    </row>
    <row r="23" spans="1:9">
      <c r="A23" s="160"/>
      <c r="B23" s="161"/>
      <c r="C23" s="161"/>
      <c r="D23" s="161"/>
      <c r="E23" s="161"/>
      <c r="F23" s="161"/>
      <c r="G23" s="161"/>
      <c r="H23" s="161"/>
      <c r="I23" s="162"/>
    </row>
    <row r="24" spans="1:9">
      <c r="A24" s="160"/>
      <c r="B24" s="161"/>
      <c r="C24" s="161"/>
      <c r="D24" s="161"/>
      <c r="E24" s="161"/>
      <c r="F24" s="161"/>
      <c r="G24" s="161"/>
      <c r="H24" s="161"/>
      <c r="I24" s="162"/>
    </row>
    <row r="25" spans="1:9">
      <c r="A25" s="160"/>
      <c r="B25" s="161"/>
      <c r="C25" s="161"/>
      <c r="D25" s="161"/>
      <c r="E25" s="161"/>
      <c r="F25" s="161"/>
      <c r="G25" s="161"/>
      <c r="H25" s="161"/>
      <c r="I25" s="162"/>
    </row>
    <row r="26" spans="1:9">
      <c r="A26" s="160"/>
      <c r="B26" s="161"/>
      <c r="C26" s="161"/>
      <c r="D26" s="161"/>
      <c r="E26" s="161"/>
      <c r="F26" s="161"/>
      <c r="G26" s="161"/>
      <c r="H26" s="161"/>
      <c r="I26" s="162"/>
    </row>
    <row r="27" spans="1:9">
      <c r="A27" s="160"/>
      <c r="B27" s="161"/>
      <c r="C27" s="161"/>
      <c r="D27" s="161"/>
      <c r="E27" s="161"/>
      <c r="F27" s="161"/>
      <c r="G27" s="161"/>
      <c r="H27" s="161"/>
      <c r="I27" s="162"/>
    </row>
    <row r="28" spans="1:9">
      <c r="A28" s="160"/>
      <c r="B28" s="161"/>
      <c r="C28" s="161"/>
      <c r="D28" s="161"/>
      <c r="E28" s="161"/>
      <c r="F28" s="161"/>
      <c r="G28" s="161"/>
      <c r="H28" s="161"/>
      <c r="I28" s="162"/>
    </row>
    <row r="29" spans="1:9">
      <c r="A29" s="160"/>
      <c r="B29" s="161"/>
      <c r="C29" s="161"/>
      <c r="D29" s="161"/>
      <c r="E29" s="161"/>
      <c r="F29" s="161"/>
      <c r="G29" s="161"/>
      <c r="H29" s="161"/>
      <c r="I29" s="162"/>
    </row>
    <row r="30" spans="1:9">
      <c r="A30" s="160"/>
      <c r="B30" s="161"/>
      <c r="C30" s="161"/>
      <c r="D30" s="161"/>
      <c r="E30" s="161"/>
      <c r="F30" s="161"/>
      <c r="G30" s="161"/>
      <c r="H30" s="161"/>
      <c r="I30" s="162"/>
    </row>
    <row r="31" spans="1:9">
      <c r="A31" s="160"/>
      <c r="B31" s="161"/>
      <c r="C31" s="161"/>
      <c r="D31" s="161"/>
      <c r="E31" s="161"/>
      <c r="F31" s="161"/>
      <c r="G31" s="161"/>
      <c r="H31" s="161"/>
      <c r="I31" s="162"/>
    </row>
    <row r="32" spans="1:9">
      <c r="A32" s="160"/>
      <c r="B32" s="161"/>
      <c r="C32" s="161"/>
      <c r="D32" s="161"/>
      <c r="E32" s="161"/>
      <c r="F32" s="161"/>
      <c r="G32" s="161"/>
      <c r="H32" s="161"/>
      <c r="I32" s="162"/>
    </row>
    <row r="33" spans="1:9">
      <c r="A33" s="160"/>
      <c r="B33" s="161"/>
      <c r="C33" s="161"/>
      <c r="D33" s="161"/>
      <c r="E33" s="161"/>
      <c r="F33" s="161"/>
      <c r="G33" s="161"/>
      <c r="H33" s="161"/>
      <c r="I33" s="162"/>
    </row>
    <row r="34" spans="1:9">
      <c r="A34" s="160"/>
      <c r="B34" s="161"/>
      <c r="C34" s="161"/>
      <c r="D34" s="161"/>
      <c r="E34" s="161"/>
      <c r="F34" s="161"/>
      <c r="G34" s="161"/>
      <c r="H34" s="161"/>
      <c r="I34" s="162"/>
    </row>
    <row r="35" spans="1:9">
      <c r="A35" s="160"/>
      <c r="B35" s="161"/>
      <c r="C35" s="161"/>
      <c r="D35" s="161"/>
      <c r="E35" s="161"/>
      <c r="F35" s="161"/>
      <c r="G35" s="161"/>
      <c r="H35" s="161"/>
      <c r="I35" s="162"/>
    </row>
    <row r="36" spans="1:9">
      <c r="A36" s="163"/>
      <c r="B36" s="164"/>
      <c r="C36" s="164"/>
      <c r="D36" s="164"/>
      <c r="E36" s="164"/>
      <c r="F36" s="164"/>
      <c r="G36" s="164"/>
      <c r="H36" s="164"/>
      <c r="I36" s="165"/>
    </row>
  </sheetData>
  <mergeCells count="1">
    <mergeCell ref="A15:I3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78"/>
  <sheetViews>
    <sheetView view="pageBreakPreview" zoomScale="85" zoomScaleNormal="100" zoomScaleSheetLayoutView="85" workbookViewId="0">
      <selection activeCell="N19" sqref="N19"/>
    </sheetView>
  </sheetViews>
  <sheetFormatPr defaultRowHeight="13.5"/>
  <cols>
    <col min="1" max="1" width="0.75" style="8" customWidth="1"/>
    <col min="2" max="2" width="7.625" style="8" customWidth="1"/>
    <col min="3" max="3" width="5.125" style="8" customWidth="1"/>
    <col min="4" max="4" width="10.375" style="8" customWidth="1"/>
    <col min="5" max="5" width="10.25" style="8" customWidth="1"/>
    <col min="6" max="9" width="10.125" style="8" customWidth="1"/>
    <col min="10" max="10" width="10.625" style="8" customWidth="1"/>
    <col min="11" max="20" width="10.125" style="8" customWidth="1"/>
    <col min="21" max="21" width="13" style="8" customWidth="1"/>
    <col min="22" max="22" width="8.625" style="8" customWidth="1"/>
    <col min="23" max="23" width="21.625" style="8" customWidth="1"/>
    <col min="24" max="54" width="6.625" style="8" customWidth="1"/>
    <col min="55" max="16384" width="9" style="8"/>
  </cols>
  <sheetData>
    <row r="1" spans="1:38" ht="26.25" customHeight="1">
      <c r="A1" s="178" t="s">
        <v>184</v>
      </c>
      <c r="B1" s="178"/>
      <c r="C1" s="178"/>
      <c r="D1" s="178"/>
      <c r="E1" s="178"/>
      <c r="F1" s="178"/>
      <c r="G1" s="178"/>
      <c r="H1" s="178"/>
      <c r="I1" s="178"/>
      <c r="J1" s="178"/>
      <c r="K1" s="178"/>
      <c r="L1" s="178"/>
      <c r="M1" s="178"/>
      <c r="N1" s="178"/>
      <c r="O1" s="178"/>
      <c r="P1" s="178"/>
      <c r="Q1" s="178"/>
      <c r="R1" s="178"/>
      <c r="S1" s="178"/>
      <c r="T1" s="131"/>
    </row>
    <row r="2" spans="1:38" ht="36" customHeight="1">
      <c r="A2" s="61"/>
      <c r="B2" s="61"/>
      <c r="C2" s="61"/>
      <c r="D2" s="61"/>
      <c r="E2" s="61"/>
      <c r="F2" s="61"/>
      <c r="G2" s="61"/>
      <c r="H2" s="61"/>
      <c r="I2" s="61"/>
      <c r="J2" s="61"/>
      <c r="K2" s="61"/>
      <c r="L2" s="61"/>
      <c r="M2" s="61"/>
      <c r="N2" s="61"/>
      <c r="O2" s="61"/>
      <c r="P2" s="61"/>
      <c r="Q2" s="61"/>
      <c r="R2" s="61"/>
      <c r="S2" s="61"/>
      <c r="T2" s="61"/>
    </row>
    <row r="3" spans="1:38" ht="14.25">
      <c r="A3" s="61"/>
      <c r="B3" s="77"/>
      <c r="C3" s="61"/>
      <c r="D3" s="61"/>
      <c r="E3" s="61"/>
      <c r="F3" s="61"/>
      <c r="G3" s="61"/>
      <c r="H3" s="61"/>
      <c r="I3" s="61"/>
      <c r="J3" s="61"/>
      <c r="K3" s="61"/>
      <c r="L3" s="61"/>
      <c r="M3" s="61"/>
      <c r="N3" s="61"/>
      <c r="O3" s="61"/>
      <c r="P3" s="61"/>
      <c r="Q3" s="61"/>
      <c r="R3" s="61"/>
      <c r="S3" s="61"/>
      <c r="T3" s="61"/>
    </row>
    <row r="4" spans="1:38">
      <c r="B4" s="78" t="s">
        <v>105</v>
      </c>
    </row>
    <row r="5" spans="1:38">
      <c r="B5" s="78"/>
    </row>
    <row r="6" spans="1:38">
      <c r="B6" s="78"/>
    </row>
    <row r="7" spans="1:38">
      <c r="B7" s="78"/>
    </row>
    <row r="8" spans="1:38">
      <c r="B8" s="78"/>
    </row>
    <row r="9" spans="1:38">
      <c r="B9" s="78"/>
    </row>
    <row r="10" spans="1:38">
      <c r="B10" s="78"/>
    </row>
    <row r="11" spans="1:38">
      <c r="B11" s="78"/>
    </row>
    <row r="12" spans="1:38">
      <c r="B12" s="78"/>
    </row>
    <row r="14" spans="1:38" ht="25.5" customHeight="1">
      <c r="B14" s="188"/>
      <c r="C14" s="188"/>
      <c r="D14" s="188"/>
      <c r="E14" s="124" t="s">
        <v>25</v>
      </c>
      <c r="F14" s="124" t="s">
        <v>26</v>
      </c>
      <c r="G14" s="124" t="s">
        <v>27</v>
      </c>
      <c r="H14" s="124" t="s">
        <v>28</v>
      </c>
      <c r="I14" s="124" t="s">
        <v>7</v>
      </c>
      <c r="J14" s="124" t="s">
        <v>8</v>
      </c>
      <c r="K14" s="124" t="s">
        <v>9</v>
      </c>
      <c r="L14" s="124" t="s">
        <v>10</v>
      </c>
      <c r="M14" s="124" t="s">
        <v>11</v>
      </c>
      <c r="N14" s="124" t="s">
        <v>4</v>
      </c>
      <c r="O14" s="124" t="s">
        <v>3</v>
      </c>
      <c r="P14" s="124" t="s">
        <v>2</v>
      </c>
      <c r="Q14" s="124" t="s">
        <v>1</v>
      </c>
      <c r="R14" s="124" t="s">
        <v>0</v>
      </c>
      <c r="S14" s="124" t="s">
        <v>29</v>
      </c>
      <c r="T14" s="4"/>
      <c r="U14" s="4"/>
      <c r="V14" s="4"/>
      <c r="W14" s="4"/>
      <c r="X14" s="30" t="s">
        <v>25</v>
      </c>
      <c r="Y14" s="30" t="s">
        <v>26</v>
      </c>
      <c r="Z14" s="30" t="s">
        <v>27</v>
      </c>
      <c r="AA14" s="30" t="s">
        <v>28</v>
      </c>
      <c r="AB14" s="30" t="s">
        <v>7</v>
      </c>
      <c r="AC14" s="30" t="s">
        <v>8</v>
      </c>
      <c r="AD14" s="30" t="s">
        <v>9</v>
      </c>
      <c r="AE14" s="30" t="s">
        <v>10</v>
      </c>
      <c r="AF14" s="30" t="s">
        <v>11</v>
      </c>
      <c r="AG14" s="30" t="s">
        <v>4</v>
      </c>
      <c r="AH14" s="30" t="s">
        <v>3</v>
      </c>
      <c r="AI14" s="30" t="s">
        <v>2</v>
      </c>
      <c r="AJ14" s="30" t="s">
        <v>1</v>
      </c>
      <c r="AK14" s="30" t="s">
        <v>0</v>
      </c>
      <c r="AL14" s="30" t="s">
        <v>29</v>
      </c>
    </row>
    <row r="15" spans="1:38" ht="35.1" customHeight="1">
      <c r="B15" s="185" t="s">
        <v>64</v>
      </c>
      <c r="C15" s="186"/>
      <c r="D15" s="187"/>
      <c r="E15" s="119">
        <f>1149723-140695</f>
        <v>1009028</v>
      </c>
      <c r="F15" s="119">
        <f>1143026-141086</f>
        <v>1001940</v>
      </c>
      <c r="G15" s="119">
        <f>1135274-139462</f>
        <v>995812</v>
      </c>
      <c r="H15" s="119">
        <f>1119512-138471</f>
        <v>981041</v>
      </c>
      <c r="I15" s="119">
        <f>1109081-137606</f>
        <v>971475</v>
      </c>
      <c r="J15" s="119">
        <f>1102880-136904</f>
        <v>965976</v>
      </c>
      <c r="K15" s="119">
        <f>1108209-143476</f>
        <v>964733</v>
      </c>
      <c r="L15" s="119">
        <v>951363</v>
      </c>
      <c r="M15" s="119">
        <v>936732</v>
      </c>
      <c r="N15" s="120">
        <v>931621</v>
      </c>
      <c r="O15" s="120">
        <v>930452</v>
      </c>
      <c r="P15" s="120">
        <v>926388</v>
      </c>
      <c r="Q15" s="120">
        <v>915610</v>
      </c>
      <c r="R15" s="121">
        <v>912470</v>
      </c>
      <c r="S15" s="122">
        <v>901649</v>
      </c>
      <c r="T15" s="190"/>
      <c r="U15" s="191"/>
      <c r="V15" s="34"/>
      <c r="W15" s="5"/>
      <c r="X15" s="18">
        <f t="shared" ref="X15:AL15" si="0">E16/E15</f>
        <v>1.6947002461775095E-3</v>
      </c>
      <c r="Y15" s="18">
        <f t="shared" si="0"/>
        <v>1.6957103219753678E-3</v>
      </c>
      <c r="Z15" s="18">
        <f t="shared" si="0"/>
        <v>1.7282378601583431E-3</v>
      </c>
      <c r="AA15" s="18">
        <f t="shared" si="0"/>
        <v>1.7613942740415539E-3</v>
      </c>
      <c r="AB15" s="18">
        <f t="shared" si="0"/>
        <v>1.7149180370055843E-3</v>
      </c>
      <c r="AC15" s="18">
        <f t="shared" si="0"/>
        <v>1.8354493279336133E-3</v>
      </c>
      <c r="AD15" s="18">
        <f t="shared" si="0"/>
        <v>1.8937882294894027E-3</v>
      </c>
      <c r="AE15" s="18">
        <f t="shared" si="0"/>
        <v>1.9077891404227409E-3</v>
      </c>
      <c r="AF15" s="18">
        <f t="shared" si="0"/>
        <v>1.9173039887609262E-3</v>
      </c>
      <c r="AG15" s="18">
        <f t="shared" si="0"/>
        <v>1.9814924738708124E-3</v>
      </c>
      <c r="AH15" s="18">
        <f t="shared" si="0"/>
        <v>1.9313194017531263E-3</v>
      </c>
      <c r="AI15" s="18">
        <f t="shared" si="0"/>
        <v>1.8901367461581972E-3</v>
      </c>
      <c r="AJ15" s="18">
        <f t="shared" si="0"/>
        <v>1.7966164633413789E-3</v>
      </c>
      <c r="AK15" s="18">
        <f t="shared" si="0"/>
        <v>1.8915690378861771E-3</v>
      </c>
      <c r="AL15" s="18">
        <f t="shared" si="0"/>
        <v>1.883216196102918E-3</v>
      </c>
    </row>
    <row r="16" spans="1:38" ht="35.1" customHeight="1">
      <c r="B16" s="173" t="s">
        <v>65</v>
      </c>
      <c r="C16" s="173"/>
      <c r="D16" s="173"/>
      <c r="E16" s="123">
        <v>1710</v>
      </c>
      <c r="F16" s="123">
        <v>1699</v>
      </c>
      <c r="G16" s="123">
        <v>1721</v>
      </c>
      <c r="H16" s="123">
        <v>1728</v>
      </c>
      <c r="I16" s="123">
        <v>1666</v>
      </c>
      <c r="J16" s="123">
        <v>1773</v>
      </c>
      <c r="K16" s="123">
        <v>1827</v>
      </c>
      <c r="L16" s="123">
        <v>1815</v>
      </c>
      <c r="M16" s="123">
        <v>1796</v>
      </c>
      <c r="N16" s="120">
        <v>1846</v>
      </c>
      <c r="O16" s="120">
        <v>1797</v>
      </c>
      <c r="P16" s="120">
        <v>1751</v>
      </c>
      <c r="Q16" s="120">
        <v>1645</v>
      </c>
      <c r="R16" s="120">
        <v>1726</v>
      </c>
      <c r="S16" s="122">
        <v>1698</v>
      </c>
      <c r="T16" s="190"/>
      <c r="U16" s="191"/>
      <c r="X16" s="8" t="s">
        <v>30</v>
      </c>
      <c r="Y16" s="19">
        <f>AVERAGE(X15:AL15)</f>
        <v>1.8349094496718436E-3</v>
      </c>
    </row>
    <row r="17" spans="2:54" ht="35.1" customHeight="1">
      <c r="B17" s="173" t="s">
        <v>66</v>
      </c>
      <c r="C17" s="173"/>
      <c r="D17" s="173"/>
      <c r="E17" s="123">
        <v>2262</v>
      </c>
      <c r="F17" s="123">
        <v>2601</v>
      </c>
      <c r="G17" s="123">
        <v>3177</v>
      </c>
      <c r="H17" s="123">
        <v>3348</v>
      </c>
      <c r="I17" s="123">
        <v>3987</v>
      </c>
      <c r="J17" s="123">
        <v>5169</v>
      </c>
      <c r="K17" s="123">
        <v>4393</v>
      </c>
      <c r="L17" s="123">
        <v>4453</v>
      </c>
      <c r="M17" s="123">
        <v>4613</v>
      </c>
      <c r="N17" s="120">
        <v>4537</v>
      </c>
      <c r="O17" s="120">
        <v>4907</v>
      </c>
      <c r="P17" s="120">
        <v>6210</v>
      </c>
      <c r="Q17" s="120">
        <v>7470</v>
      </c>
      <c r="R17" s="120">
        <v>7837</v>
      </c>
      <c r="S17" s="122">
        <v>8363</v>
      </c>
      <c r="T17" s="190"/>
      <c r="U17" s="191"/>
      <c r="V17" s="34"/>
      <c r="W17" s="32" t="s">
        <v>51</v>
      </c>
      <c r="X17" s="32"/>
      <c r="Y17" s="32"/>
      <c r="Z17" s="32"/>
      <c r="AA17" s="32"/>
      <c r="AB17" s="32"/>
      <c r="AC17" s="32"/>
      <c r="AD17" s="32"/>
      <c r="AE17" s="32"/>
      <c r="AF17" s="32"/>
      <c r="AG17" s="32"/>
      <c r="AH17" s="32"/>
      <c r="AI17" s="32"/>
      <c r="AJ17" s="32"/>
    </row>
    <row r="18" spans="2:54" ht="18" customHeight="1">
      <c r="B18" s="174" t="s">
        <v>167</v>
      </c>
      <c r="C18" s="174"/>
      <c r="D18" s="174"/>
      <c r="E18" s="174"/>
      <c r="F18" s="174"/>
      <c r="G18" s="174"/>
      <c r="H18" s="174"/>
      <c r="I18" s="174"/>
      <c r="J18" s="174"/>
      <c r="K18" s="174"/>
      <c r="L18" s="174"/>
      <c r="M18" s="174"/>
      <c r="N18" s="174"/>
      <c r="O18" s="174"/>
      <c r="P18" s="174"/>
      <c r="Q18" s="174"/>
      <c r="R18" s="174"/>
      <c r="S18" s="174"/>
      <c r="T18" s="31"/>
      <c r="U18" s="31"/>
      <c r="V18" s="31"/>
      <c r="W18" s="1"/>
      <c r="X18" s="1"/>
      <c r="Y18" s="1"/>
      <c r="Z18" s="1"/>
      <c r="AA18" s="1"/>
      <c r="AB18" s="1"/>
      <c r="AC18" s="1"/>
      <c r="AD18" s="1"/>
      <c r="AE18" s="1"/>
      <c r="AF18" s="1"/>
    </row>
    <row r="19" spans="2:54" ht="66.75" customHeight="1">
      <c r="B19" s="34"/>
      <c r="C19" s="34"/>
      <c r="D19" s="34"/>
      <c r="E19" s="34"/>
      <c r="F19" s="34"/>
      <c r="G19" s="34"/>
      <c r="H19" s="34"/>
      <c r="I19" s="34"/>
      <c r="J19" s="21"/>
      <c r="K19" s="22"/>
      <c r="L19" s="21"/>
      <c r="M19" s="21"/>
      <c r="N19" s="22"/>
      <c r="O19" s="31"/>
      <c r="P19" s="31"/>
      <c r="Q19" s="31"/>
      <c r="R19" s="31"/>
      <c r="S19" s="31"/>
      <c r="T19" s="31"/>
      <c r="U19" s="31"/>
      <c r="V19" s="31"/>
      <c r="W19" s="1"/>
      <c r="X19" s="1"/>
      <c r="Y19" s="1"/>
      <c r="Z19" s="1"/>
      <c r="AA19" s="1"/>
      <c r="AB19" s="1"/>
      <c r="AC19" s="1"/>
      <c r="AD19" s="1"/>
      <c r="AE19" s="1"/>
      <c r="AF19" s="1"/>
    </row>
    <row r="20" spans="2:54" ht="25.5" customHeight="1">
      <c r="B20" s="175"/>
      <c r="C20" s="176"/>
      <c r="D20" s="177"/>
      <c r="E20" s="124" t="s">
        <v>56</v>
      </c>
      <c r="F20" s="124" t="s">
        <v>57</v>
      </c>
      <c r="G20" s="124" t="s">
        <v>58</v>
      </c>
      <c r="H20" s="124" t="s">
        <v>59</v>
      </c>
      <c r="I20" s="76"/>
      <c r="J20" s="4"/>
      <c r="K20" s="4"/>
      <c r="L20" s="4"/>
      <c r="M20" s="4"/>
      <c r="N20" s="4"/>
      <c r="O20" s="4"/>
      <c r="P20" s="4"/>
      <c r="Q20" s="4"/>
      <c r="R20" s="4"/>
      <c r="S20" s="4"/>
      <c r="T20" s="4"/>
      <c r="U20" s="31"/>
    </row>
    <row r="21" spans="2:54" ht="35.1" customHeight="1">
      <c r="B21" s="166" t="s">
        <v>5</v>
      </c>
      <c r="C21" s="167"/>
      <c r="D21" s="40" t="s">
        <v>71</v>
      </c>
      <c r="E21" s="125">
        <f>ROUND(896623.572709006,0)</f>
        <v>896624</v>
      </c>
      <c r="F21" s="125">
        <f>ROUND(888615.911152546,0)</f>
        <v>888616</v>
      </c>
      <c r="G21" s="125">
        <f>ROUND(879612.585495363,0)</f>
        <v>879613</v>
      </c>
      <c r="H21" s="125">
        <f>ROUND(870427.809807591,0)</f>
        <v>870428</v>
      </c>
      <c r="I21" s="72"/>
      <c r="J21" s="73"/>
      <c r="K21" s="73"/>
      <c r="L21" s="73"/>
      <c r="M21" s="74"/>
      <c r="N21" s="74"/>
      <c r="O21" s="74"/>
      <c r="P21" s="74"/>
      <c r="Q21" s="74"/>
      <c r="R21" s="74"/>
      <c r="S21" s="74"/>
      <c r="T21" s="74"/>
      <c r="U21" s="31"/>
      <c r="V21" s="1"/>
      <c r="W21" s="1"/>
      <c r="X21" s="181" t="s">
        <v>31</v>
      </c>
      <c r="Y21" s="181"/>
      <c r="Z21" s="181"/>
      <c r="AA21" s="181"/>
      <c r="AB21" s="181"/>
      <c r="AC21" s="181"/>
      <c r="AD21" s="181"/>
      <c r="AE21" s="181"/>
      <c r="AF21" s="181"/>
    </row>
    <row r="22" spans="2:54" ht="35.1" customHeight="1">
      <c r="B22" s="168"/>
      <c r="C22" s="169"/>
      <c r="D22" s="40" t="s">
        <v>72</v>
      </c>
      <c r="E22" s="126">
        <v>891984</v>
      </c>
      <c r="F22" s="126">
        <v>881370</v>
      </c>
      <c r="G22" s="126">
        <v>868520</v>
      </c>
      <c r="H22" s="126">
        <v>848894</v>
      </c>
      <c r="I22" s="72"/>
      <c r="J22" s="73"/>
      <c r="K22" s="73"/>
      <c r="L22" s="73"/>
      <c r="M22" s="74"/>
      <c r="N22" s="74"/>
      <c r="O22" s="74"/>
      <c r="P22" s="74"/>
      <c r="Q22" s="74"/>
      <c r="R22" s="74"/>
      <c r="S22" s="74"/>
      <c r="T22" s="74"/>
      <c r="U22" s="31"/>
      <c r="V22" s="1"/>
      <c r="W22" s="1"/>
      <c r="X22" s="39"/>
      <c r="Y22" s="39"/>
      <c r="Z22" s="39"/>
      <c r="AA22" s="39"/>
      <c r="AB22" s="39"/>
      <c r="AC22" s="39"/>
      <c r="AD22" s="39"/>
      <c r="AE22" s="39"/>
      <c r="AF22" s="39"/>
    </row>
    <row r="23" spans="2:54" ht="35.1" customHeight="1">
      <c r="B23" s="170"/>
      <c r="C23" s="171"/>
      <c r="D23" s="40" t="s">
        <v>106</v>
      </c>
      <c r="E23" s="127">
        <f>E22/E21</f>
        <v>0.99482503256660537</v>
      </c>
      <c r="F23" s="127">
        <f t="shared" ref="F23:H23" si="1">F22/F21</f>
        <v>0.99184574664421976</v>
      </c>
      <c r="G23" s="127">
        <f t="shared" si="1"/>
        <v>0.98738877210773379</v>
      </c>
      <c r="H23" s="127">
        <f t="shared" si="1"/>
        <v>0.97526044658489841</v>
      </c>
      <c r="I23" s="72"/>
      <c r="J23" s="73"/>
      <c r="K23" s="73"/>
      <c r="L23" s="73"/>
      <c r="M23" s="74"/>
      <c r="N23" s="74"/>
      <c r="O23" s="74"/>
      <c r="P23" s="74"/>
      <c r="Q23" s="74"/>
      <c r="R23" s="74"/>
      <c r="S23" s="74"/>
      <c r="T23" s="74"/>
      <c r="U23" s="31"/>
      <c r="V23" s="1"/>
      <c r="W23" s="1"/>
      <c r="X23" s="39"/>
      <c r="Y23" s="39"/>
      <c r="Z23" s="39"/>
      <c r="AA23" s="39"/>
      <c r="AB23" s="39"/>
      <c r="AC23" s="39"/>
      <c r="AD23" s="39"/>
      <c r="AE23" s="39"/>
      <c r="AF23" s="39"/>
    </row>
    <row r="24" spans="2:54" ht="35.1" customHeight="1">
      <c r="B24" s="172" t="s">
        <v>60</v>
      </c>
      <c r="C24" s="172"/>
      <c r="D24" s="40" t="s">
        <v>71</v>
      </c>
      <c r="E24" s="128">
        <f>ROUND(Z49+Z50*E21,0)</f>
        <v>1758</v>
      </c>
      <c r="F24" s="128">
        <f>ROUND(Z49+Z50*F21,0)</f>
        <v>1760</v>
      </c>
      <c r="G24" s="128">
        <f>ROUND(Z49+Z50*G21,0)</f>
        <v>1762</v>
      </c>
      <c r="H24" s="128">
        <f>ROUND(Z49+Z50*H21,0)</f>
        <v>1763</v>
      </c>
      <c r="I24" s="75"/>
      <c r="J24" s="74"/>
      <c r="K24" s="74"/>
      <c r="L24" s="74"/>
      <c r="M24" s="74"/>
      <c r="N24" s="74"/>
      <c r="O24" s="74"/>
      <c r="P24" s="74"/>
      <c r="Q24" s="74"/>
      <c r="R24" s="74"/>
      <c r="S24" s="74"/>
      <c r="T24" s="74"/>
      <c r="U24" s="31"/>
    </row>
    <row r="25" spans="2:54" ht="35.1" customHeight="1">
      <c r="B25" s="172"/>
      <c r="C25" s="172"/>
      <c r="D25" s="40" t="s">
        <v>72</v>
      </c>
      <c r="E25" s="129">
        <v>1650</v>
      </c>
      <c r="F25" s="129">
        <v>1626</v>
      </c>
      <c r="G25" s="129">
        <v>1635</v>
      </c>
      <c r="H25" s="129">
        <v>1659</v>
      </c>
      <c r="I25" s="75"/>
      <c r="J25" s="74"/>
      <c r="K25" s="74"/>
      <c r="L25" s="74"/>
      <c r="M25" s="74"/>
      <c r="N25" s="74"/>
      <c r="O25" s="74"/>
      <c r="P25" s="74"/>
      <c r="Q25" s="74"/>
      <c r="R25" s="74"/>
      <c r="S25" s="74"/>
      <c r="T25" s="74"/>
      <c r="U25" s="31"/>
    </row>
    <row r="26" spans="2:54" ht="35.1" customHeight="1">
      <c r="B26" s="172"/>
      <c r="C26" s="172"/>
      <c r="D26" s="40" t="s">
        <v>106</v>
      </c>
      <c r="E26" s="130">
        <f>SUM(E25/E24)</f>
        <v>0.93856655290102387</v>
      </c>
      <c r="F26" s="130">
        <f t="shared" ref="F26:H26" si="2">SUM(F25/F24)</f>
        <v>0.92386363636363633</v>
      </c>
      <c r="G26" s="130">
        <f t="shared" si="2"/>
        <v>0.92792281498297391</v>
      </c>
      <c r="H26" s="130">
        <f t="shared" si="2"/>
        <v>0.9410096426545661</v>
      </c>
      <c r="I26" s="75"/>
      <c r="J26" s="74"/>
      <c r="K26" s="74"/>
      <c r="L26" s="74"/>
      <c r="M26" s="74"/>
      <c r="N26" s="74"/>
      <c r="O26" s="74"/>
      <c r="P26" s="74"/>
      <c r="Q26" s="74"/>
      <c r="R26" s="74"/>
      <c r="S26" s="74"/>
      <c r="T26" s="74"/>
      <c r="U26" s="31"/>
    </row>
    <row r="27" spans="2:54" ht="20.100000000000001" customHeight="1">
      <c r="B27" s="182"/>
      <c r="C27" s="182"/>
      <c r="D27" s="182"/>
      <c r="E27" s="182"/>
      <c r="F27" s="182"/>
      <c r="G27" s="182"/>
      <c r="H27" s="182"/>
      <c r="I27" s="182"/>
      <c r="J27" s="182"/>
      <c r="K27" s="182"/>
      <c r="L27" s="182"/>
      <c r="M27" s="182"/>
      <c r="N27" s="182"/>
      <c r="O27" s="182"/>
      <c r="P27" s="182"/>
      <c r="Q27" s="182"/>
      <c r="R27" s="182"/>
      <c r="S27" s="182"/>
      <c r="T27" s="182"/>
      <c r="U27" s="31"/>
      <c r="X27" s="20">
        <f>2567-305</f>
        <v>2262</v>
      </c>
      <c r="Y27" s="20">
        <f>2942-341</f>
        <v>2601</v>
      </c>
      <c r="Z27" s="20">
        <f>3611-434</f>
        <v>3177</v>
      </c>
      <c r="AA27" s="20">
        <f>3765-417</f>
        <v>3348</v>
      </c>
      <c r="AB27" s="20">
        <f>4468-481</f>
        <v>3987</v>
      </c>
      <c r="AC27" s="20">
        <f>6147-978</f>
        <v>5169</v>
      </c>
      <c r="AD27" s="20">
        <f>5164-771</f>
        <v>4393</v>
      </c>
      <c r="AE27" s="20">
        <v>4453</v>
      </c>
      <c r="AF27" s="20">
        <v>4613</v>
      </c>
      <c r="AG27" s="20">
        <v>4537</v>
      </c>
      <c r="AH27" s="20">
        <v>4907</v>
      </c>
      <c r="AI27" s="20">
        <v>6210</v>
      </c>
      <c r="AJ27" s="20">
        <v>7470</v>
      </c>
      <c r="AK27" s="20">
        <v>7837</v>
      </c>
      <c r="AL27" s="20" t="e">
        <f>S15*#REF!</f>
        <v>#REF!</v>
      </c>
      <c r="AM27" s="20" t="e">
        <f>E21*#REF!</f>
        <v>#REF!</v>
      </c>
      <c r="AN27" s="20" t="e">
        <f>F21*#REF!</f>
        <v>#REF!</v>
      </c>
      <c r="AO27" s="20" t="e">
        <f>G21*#REF!</f>
        <v>#REF!</v>
      </c>
      <c r="AP27" s="20" t="e">
        <f>H21*#REF!</f>
        <v>#REF!</v>
      </c>
      <c r="AQ27" s="20" t="e">
        <f>I21*#REF!</f>
        <v>#REF!</v>
      </c>
      <c r="AR27" s="20" t="e">
        <f>J21*#REF!</f>
        <v>#REF!</v>
      </c>
      <c r="AS27" s="20" t="e">
        <f>K21*#REF!</f>
        <v>#REF!</v>
      </c>
      <c r="AT27" s="20" t="e">
        <f>L21*#REF!</f>
        <v>#REF!</v>
      </c>
      <c r="AU27" s="20" t="e">
        <f>M21*#REF!</f>
        <v>#REF!</v>
      </c>
      <c r="AV27" s="20" t="e">
        <f>N21*#REF!</f>
        <v>#REF!</v>
      </c>
      <c r="AW27" s="20" t="e">
        <f>O21*#REF!</f>
        <v>#REF!</v>
      </c>
      <c r="AX27" s="20" t="e">
        <f>P21*#REF!</f>
        <v>#REF!</v>
      </c>
      <c r="AY27" s="20" t="e">
        <f>Q21*#REF!</f>
        <v>#REF!</v>
      </c>
      <c r="AZ27" s="20" t="e">
        <f>R21*#REF!</f>
        <v>#REF!</v>
      </c>
      <c r="BA27" s="20" t="e">
        <f>S21*#REF!</f>
        <v>#REF!</v>
      </c>
      <c r="BB27" s="20" t="e">
        <f>T21*#REF!</f>
        <v>#REF!</v>
      </c>
    </row>
    <row r="28" spans="2:54" ht="20.100000000000001" customHeight="1">
      <c r="B28" s="192" t="s">
        <v>139</v>
      </c>
      <c r="C28" s="192"/>
      <c r="D28" s="192"/>
      <c r="E28" s="192"/>
      <c r="F28" s="192"/>
      <c r="G28" s="192"/>
      <c r="H28" s="192"/>
      <c r="I28" s="192"/>
      <c r="J28" s="192"/>
      <c r="K28" s="192"/>
      <c r="L28" s="192"/>
      <c r="M28" s="192"/>
      <c r="N28" s="192"/>
      <c r="O28" s="192"/>
      <c r="P28" s="192"/>
      <c r="Q28" s="192"/>
      <c r="R28" s="192"/>
      <c r="S28" s="192"/>
      <c r="T28" s="192"/>
      <c r="W28" s="8" t="s">
        <v>50</v>
      </c>
      <c r="X28" s="8">
        <f t="shared" ref="X28:AK28" si="3">ROUND(E16/X27,5)</f>
        <v>0.75597000000000003</v>
      </c>
      <c r="Y28" s="8">
        <f t="shared" si="3"/>
        <v>0.65320999999999996</v>
      </c>
      <c r="Z28" s="8">
        <f t="shared" si="3"/>
        <v>0.54171000000000002</v>
      </c>
      <c r="AA28" s="8">
        <f t="shared" si="3"/>
        <v>0.51612999999999998</v>
      </c>
      <c r="AB28" s="8">
        <f t="shared" si="3"/>
        <v>0.41786000000000001</v>
      </c>
      <c r="AC28" s="8">
        <f t="shared" si="3"/>
        <v>0.34300999999999998</v>
      </c>
      <c r="AD28" s="8">
        <f t="shared" si="3"/>
        <v>0.41588999999999998</v>
      </c>
      <c r="AE28" s="8">
        <f t="shared" si="3"/>
        <v>0.40759000000000001</v>
      </c>
      <c r="AF28" s="8">
        <f t="shared" si="3"/>
        <v>0.38933000000000001</v>
      </c>
      <c r="AG28" s="8">
        <f t="shared" si="3"/>
        <v>0.40688000000000002</v>
      </c>
      <c r="AH28" s="8">
        <f t="shared" si="3"/>
        <v>0.36620999999999998</v>
      </c>
      <c r="AI28" s="8">
        <f t="shared" si="3"/>
        <v>0.28195999999999999</v>
      </c>
      <c r="AJ28" s="8">
        <f t="shared" si="3"/>
        <v>0.22020999999999999</v>
      </c>
      <c r="AK28" s="8">
        <f t="shared" si="3"/>
        <v>0.22023999999999999</v>
      </c>
      <c r="AL28" s="8" t="e">
        <f>AK28*X29</f>
        <v>#REF!</v>
      </c>
      <c r="AM28" s="8" t="e">
        <f>AL28*X29</f>
        <v>#REF!</v>
      </c>
      <c r="AN28" s="8" t="e">
        <f>AM28*X29</f>
        <v>#REF!</v>
      </c>
      <c r="AO28" s="8" t="e">
        <f>AN28*X29</f>
        <v>#REF!</v>
      </c>
      <c r="AP28" s="8" t="e">
        <f>AO28*X29</f>
        <v>#REF!</v>
      </c>
      <c r="AQ28" s="8" t="e">
        <f>AP28*X29</f>
        <v>#REF!</v>
      </c>
      <c r="AR28" s="8" t="e">
        <f>AQ28*X29</f>
        <v>#REF!</v>
      </c>
      <c r="AS28" s="8" t="e">
        <f>AR28*X29</f>
        <v>#REF!</v>
      </c>
      <c r="AT28" s="8" t="e">
        <f>AS28*X29</f>
        <v>#REF!</v>
      </c>
      <c r="AU28" s="8" t="e">
        <f>AT28*X29</f>
        <v>#REF!</v>
      </c>
      <c r="AV28" s="8" t="e">
        <f>AU28*X29</f>
        <v>#REF!</v>
      </c>
      <c r="AW28" s="8" t="e">
        <f>AV28*X29</f>
        <v>#REF!</v>
      </c>
      <c r="AX28" s="8" t="e">
        <f>AW28*X29</f>
        <v>#REF!</v>
      </c>
      <c r="AY28" s="8" t="e">
        <f>AX28*X29</f>
        <v>#REF!</v>
      </c>
      <c r="AZ28" s="8" t="e">
        <f>AY28*X29</f>
        <v>#REF!</v>
      </c>
      <c r="BA28" s="8" t="e">
        <f>AZ28*X29</f>
        <v>#REF!</v>
      </c>
      <c r="BB28" s="8" t="e">
        <f>BA28*X29</f>
        <v>#REF!</v>
      </c>
    </row>
    <row r="29" spans="2:54" ht="25.5" customHeight="1">
      <c r="B29" s="184"/>
      <c r="C29" s="184"/>
      <c r="D29" s="184"/>
      <c r="E29" s="124" t="s">
        <v>127</v>
      </c>
      <c r="F29" s="124" t="s">
        <v>128</v>
      </c>
      <c r="G29" s="124" t="s">
        <v>129</v>
      </c>
      <c r="H29" s="124" t="s">
        <v>130</v>
      </c>
      <c r="I29" s="124" t="s">
        <v>131</v>
      </c>
      <c r="J29" s="124" t="s">
        <v>132</v>
      </c>
      <c r="K29" s="124" t="s">
        <v>133</v>
      </c>
      <c r="L29" s="124" t="s">
        <v>134</v>
      </c>
      <c r="M29" s="124" t="s">
        <v>135</v>
      </c>
      <c r="N29" s="124" t="s">
        <v>136</v>
      </c>
      <c r="O29" s="124" t="s">
        <v>137</v>
      </c>
      <c r="P29" s="124" t="s">
        <v>138</v>
      </c>
      <c r="Q29" s="76"/>
      <c r="R29" s="4"/>
      <c r="S29" s="4"/>
      <c r="T29" s="1"/>
      <c r="U29" s="1"/>
      <c r="W29" s="8" t="s">
        <v>33</v>
      </c>
      <c r="X29" s="8" t="e">
        <f>AVERAGE(#REF!)</f>
        <v>#REF!</v>
      </c>
    </row>
    <row r="30" spans="2:54" ht="34.5" customHeight="1">
      <c r="B30" s="185" t="s">
        <v>64</v>
      </c>
      <c r="C30" s="186"/>
      <c r="D30" s="187"/>
      <c r="E30" s="125">
        <f>ROUND(860578.976976893,0)</f>
        <v>860579</v>
      </c>
      <c r="F30" s="125">
        <f>ROUND(850477.706866118,0)</f>
        <v>850478</v>
      </c>
      <c r="G30" s="125">
        <f>ROUND(840319.190988377,0)</f>
        <v>840319</v>
      </c>
      <c r="H30" s="125">
        <f>ROUND(830656.242939445,0)</f>
        <v>830656</v>
      </c>
      <c r="I30" s="128">
        <f>ROUND(821205.881871273,0)</f>
        <v>821206</v>
      </c>
      <c r="J30" s="128">
        <f>ROUND(812719.142265031,0)</f>
        <v>812719</v>
      </c>
      <c r="K30" s="128">
        <f>ROUND(803899.733859163,0)</f>
        <v>803900</v>
      </c>
      <c r="L30" s="128">
        <f>ROUND(794641.160164114,0)</f>
        <v>794641</v>
      </c>
      <c r="M30" s="128">
        <f>ROUND(785091.01719444,0)</f>
        <v>785091</v>
      </c>
      <c r="N30" s="128">
        <f>ROUND(776330.291165073,0)</f>
        <v>776330</v>
      </c>
      <c r="O30" s="128">
        <f>ROUND(767508.415538479,0)</f>
        <v>767508</v>
      </c>
      <c r="P30" s="128">
        <f>ROUND(758169.797707733,0)</f>
        <v>758170</v>
      </c>
      <c r="Q30" s="79"/>
      <c r="R30" s="80"/>
      <c r="S30" s="81"/>
      <c r="T30" s="1"/>
      <c r="U30" s="1"/>
    </row>
    <row r="31" spans="2:54" ht="34.5" customHeight="1">
      <c r="B31" s="173" t="s">
        <v>65</v>
      </c>
      <c r="C31" s="173"/>
      <c r="D31" s="173"/>
      <c r="E31" s="128">
        <v>1765</v>
      </c>
      <c r="F31" s="128">
        <v>1768</v>
      </c>
      <c r="G31" s="128">
        <v>1770</v>
      </c>
      <c r="H31" s="128">
        <v>1772</v>
      </c>
      <c r="I31" s="128">
        <v>1774</v>
      </c>
      <c r="J31" s="128">
        <v>1775</v>
      </c>
      <c r="K31" s="128">
        <v>1777</v>
      </c>
      <c r="L31" s="128">
        <v>1779</v>
      </c>
      <c r="M31" s="128">
        <v>1781</v>
      </c>
      <c r="N31" s="128">
        <v>1783</v>
      </c>
      <c r="O31" s="128">
        <v>1785</v>
      </c>
      <c r="P31" s="128">
        <v>1786</v>
      </c>
      <c r="Q31" s="79"/>
      <c r="R31" s="80"/>
      <c r="S31" s="81"/>
      <c r="T31" s="1"/>
      <c r="U31" s="1"/>
    </row>
    <row r="32" spans="2:54">
      <c r="B32" s="24"/>
      <c r="C32" s="34"/>
      <c r="D32" s="34"/>
      <c r="E32" s="86">
        <v>844933.18953078275</v>
      </c>
      <c r="F32" s="86">
        <v>835328.48160320928</v>
      </c>
      <c r="G32" s="86">
        <v>826782.45229977241</v>
      </c>
      <c r="H32" s="86">
        <v>820266.45109580143</v>
      </c>
      <c r="I32" s="86">
        <v>814740.73966298962</v>
      </c>
      <c r="J32" s="86">
        <v>811117.6288963136</v>
      </c>
      <c r="K32" s="86">
        <v>807122.90473046212</v>
      </c>
      <c r="L32" s="86">
        <v>802124.52469861007</v>
      </c>
      <c r="M32" s="86">
        <v>796107.44445185561</v>
      </c>
      <c r="N32" s="86">
        <v>790788.21820616641</v>
      </c>
      <c r="O32" s="86">
        <v>785595.22064090741</v>
      </c>
      <c r="P32" s="86">
        <v>780064.59432120353</v>
      </c>
      <c r="Q32" s="1"/>
      <c r="R32" s="1"/>
      <c r="S32" s="1"/>
      <c r="T32" s="1"/>
      <c r="U32" s="1"/>
      <c r="X32" s="30" t="s">
        <v>25</v>
      </c>
      <c r="Y32" s="30" t="s">
        <v>26</v>
      </c>
      <c r="Z32" s="30" t="s">
        <v>27</v>
      </c>
      <c r="AA32" s="30" t="s">
        <v>28</v>
      </c>
      <c r="AB32" s="30" t="s">
        <v>7</v>
      </c>
      <c r="AC32" s="30" t="s">
        <v>8</v>
      </c>
      <c r="AD32" s="30" t="s">
        <v>9</v>
      </c>
      <c r="AE32" s="30" t="s">
        <v>10</v>
      </c>
      <c r="AF32" s="30" t="s">
        <v>11</v>
      </c>
      <c r="AG32" s="30" t="s">
        <v>4</v>
      </c>
      <c r="AH32" s="30" t="s">
        <v>3</v>
      </c>
      <c r="AI32" s="30" t="s">
        <v>2</v>
      </c>
      <c r="AJ32" s="30" t="s">
        <v>1</v>
      </c>
      <c r="AK32" s="30" t="s">
        <v>0</v>
      </c>
      <c r="AL32" s="30" t="s">
        <v>29</v>
      </c>
      <c r="AM32" s="30" t="s">
        <v>34</v>
      </c>
      <c r="AN32" s="30" t="s">
        <v>35</v>
      </c>
      <c r="AO32" s="30" t="s">
        <v>36</v>
      </c>
      <c r="AP32" s="30" t="s">
        <v>37</v>
      </c>
      <c r="AQ32" s="30" t="s">
        <v>38</v>
      </c>
      <c r="AR32" s="30" t="s">
        <v>39</v>
      </c>
      <c r="AS32" s="30" t="s">
        <v>40</v>
      </c>
      <c r="AT32" s="30" t="s">
        <v>41</v>
      </c>
      <c r="AU32" s="30" t="s">
        <v>42</v>
      </c>
      <c r="AV32" s="30" t="s">
        <v>43</v>
      </c>
      <c r="AW32" s="30" t="s">
        <v>44</v>
      </c>
      <c r="AX32" s="30" t="s">
        <v>45</v>
      </c>
      <c r="AY32" s="30" t="s">
        <v>46</v>
      </c>
      <c r="AZ32" s="30" t="s">
        <v>47</v>
      </c>
      <c r="BA32" s="30" t="s">
        <v>48</v>
      </c>
      <c r="BB32" s="30" t="s">
        <v>49</v>
      </c>
    </row>
    <row r="33" spans="2:54">
      <c r="B33" s="24"/>
      <c r="C33" s="34"/>
      <c r="D33" s="34"/>
      <c r="Q33" s="1"/>
      <c r="R33" s="1"/>
      <c r="S33" s="1"/>
      <c r="T33" s="1"/>
      <c r="U33" s="1"/>
      <c r="X33" s="20">
        <v>560</v>
      </c>
      <c r="Y33" s="20">
        <v>567</v>
      </c>
      <c r="Z33" s="20">
        <v>559</v>
      </c>
      <c r="AA33" s="20">
        <v>591</v>
      </c>
      <c r="AB33" s="20">
        <v>820</v>
      </c>
      <c r="AC33" s="20">
        <v>993</v>
      </c>
      <c r="AD33" s="20">
        <v>996</v>
      </c>
      <c r="AE33" s="20">
        <v>923</v>
      </c>
      <c r="AF33" s="20">
        <v>848</v>
      </c>
      <c r="AG33" s="20">
        <v>981</v>
      </c>
      <c r="AH33" s="20">
        <v>1105</v>
      </c>
      <c r="AI33" s="20">
        <v>1366</v>
      </c>
      <c r="AJ33" s="20">
        <v>1589</v>
      </c>
      <c r="AK33" s="20">
        <v>1906</v>
      </c>
      <c r="AL33" s="20">
        <f>S15*AL34</f>
        <v>1886.4731637357888</v>
      </c>
      <c r="AM33" s="20">
        <f t="shared" ref="AM33:BB33" si="4">E21*AM34</f>
        <v>2076.7049951729327</v>
      </c>
      <c r="AN33" s="20">
        <f t="shared" si="4"/>
        <v>2278.3996154992669</v>
      </c>
      <c r="AO33" s="20">
        <f t="shared" si="4"/>
        <v>2496.6561361787235</v>
      </c>
      <c r="AP33" s="20">
        <f t="shared" si="4"/>
        <v>2734.9618130379226</v>
      </c>
      <c r="AQ33" s="20">
        <f t="shared" si="4"/>
        <v>0</v>
      </c>
      <c r="AR33" s="20">
        <f t="shared" si="4"/>
        <v>0</v>
      </c>
      <c r="AS33" s="20">
        <f t="shared" si="4"/>
        <v>0</v>
      </c>
      <c r="AT33" s="20">
        <f t="shared" si="4"/>
        <v>0</v>
      </c>
      <c r="AU33" s="20">
        <f t="shared" si="4"/>
        <v>0</v>
      </c>
      <c r="AV33" s="20">
        <f t="shared" si="4"/>
        <v>0</v>
      </c>
      <c r="AW33" s="20">
        <f t="shared" si="4"/>
        <v>0</v>
      </c>
      <c r="AX33" s="20">
        <f t="shared" si="4"/>
        <v>0</v>
      </c>
      <c r="AY33" s="20">
        <f t="shared" si="4"/>
        <v>0</v>
      </c>
      <c r="AZ33" s="20">
        <f t="shared" si="4"/>
        <v>0</v>
      </c>
      <c r="BA33" s="20">
        <f t="shared" si="4"/>
        <v>0</v>
      </c>
      <c r="BB33" s="20">
        <f t="shared" si="4"/>
        <v>0</v>
      </c>
    </row>
    <row r="34" spans="2:54">
      <c r="B34" s="24"/>
      <c r="C34" s="34"/>
      <c r="D34" s="34"/>
      <c r="E34" s="34"/>
      <c r="F34" s="34"/>
      <c r="G34" s="34"/>
      <c r="H34" s="34"/>
      <c r="I34" s="34"/>
      <c r="J34" s="34"/>
      <c r="K34" s="34"/>
      <c r="L34" s="34"/>
      <c r="P34" s="1"/>
      <c r="Q34" s="1"/>
      <c r="R34" s="1"/>
      <c r="S34" s="1"/>
      <c r="T34" s="1"/>
      <c r="U34" s="1"/>
      <c r="W34" s="8" t="s">
        <v>61</v>
      </c>
      <c r="X34" s="8">
        <f>ROUND(X33/E15,5)</f>
        <v>5.5000000000000003E-4</v>
      </c>
      <c r="Y34" s="8">
        <f>ROUND(Y33/E15,5)</f>
        <v>5.5999999999999995E-4</v>
      </c>
      <c r="Z34" s="8">
        <f>ROUND(Z33/E15,5)</f>
        <v>5.5000000000000003E-4</v>
      </c>
      <c r="AA34" s="8">
        <f>ROUND(AA33/E15,5)</f>
        <v>5.9000000000000003E-4</v>
      </c>
      <c r="AB34" s="8">
        <f>ROUND(AB33/E15,5)</f>
        <v>8.0999999999999996E-4</v>
      </c>
      <c r="AC34" s="8">
        <f>ROUND(AC33/E15,5)</f>
        <v>9.7999999999999997E-4</v>
      </c>
      <c r="AD34" s="8">
        <f>ROUND(AD33/E15,5)</f>
        <v>9.8999999999999999E-4</v>
      </c>
      <c r="AE34" s="8">
        <f>ROUND(AE33/E15,5)</f>
        <v>9.1E-4</v>
      </c>
      <c r="AF34" s="8">
        <f>ROUND(AF33/E15,5)</f>
        <v>8.4000000000000003E-4</v>
      </c>
      <c r="AG34" s="8">
        <f>ROUND(AG33/E15,5)</f>
        <v>9.7000000000000005E-4</v>
      </c>
      <c r="AH34" s="8">
        <f>ROUND(AH33/E15,5)</f>
        <v>1.1000000000000001E-3</v>
      </c>
      <c r="AI34" s="8">
        <f>ROUND(AI33/E15,5)</f>
        <v>1.3500000000000001E-3</v>
      </c>
      <c r="AJ34" s="8">
        <f>ROUND(AJ33/E15,5)</f>
        <v>1.57E-3</v>
      </c>
      <c r="AK34" s="8">
        <f>ROUND(AK33/E15,5)</f>
        <v>1.89E-3</v>
      </c>
      <c r="AL34" s="8">
        <f>AK34*X36</f>
        <v>2.0922478300711127E-3</v>
      </c>
      <c r="AM34" s="8">
        <f>AL34*X36</f>
        <v>2.3161380859456505E-3</v>
      </c>
      <c r="AN34" s="8">
        <f>AM34*X36</f>
        <v>2.5639867113570621E-3</v>
      </c>
      <c r="AO34" s="8">
        <f>AN34*X36</f>
        <v>2.838357477866657E-3</v>
      </c>
      <c r="AP34" s="8">
        <f>AO34*X36</f>
        <v>3.1420885047791689E-3</v>
      </c>
      <c r="AQ34" s="8">
        <f>AP34*X36</f>
        <v>3.4783216169394725E-3</v>
      </c>
      <c r="AR34" s="8">
        <f>AQ34*X36</f>
        <v>3.8505348440905055E-3</v>
      </c>
      <c r="AS34" s="8">
        <f>AR34*X36</f>
        <v>4.2625783979690843E-3</v>
      </c>
      <c r="AT34" s="8">
        <f>AS34*X36</f>
        <v>4.7187144992903787E-3</v>
      </c>
      <c r="AU34" s="8">
        <f>AT34*X36</f>
        <v>5.2236614665954455E-3</v>
      </c>
      <c r="AV34" s="8">
        <f>AU34*X36</f>
        <v>5.782642523021379E-3</v>
      </c>
      <c r="AW34" s="8">
        <f>AV34*X36</f>
        <v>6.4014398258563088E-3</v>
      </c>
      <c r="AX34" s="8">
        <f>AW34*X36</f>
        <v>7.0864542777664885E-3</v>
      </c>
      <c r="AY34" s="8">
        <f>AX34*X36</f>
        <v>7.8447717383889354E-3</v>
      </c>
      <c r="AZ34" s="8">
        <f>AY34*X36</f>
        <v>8.6842363211891219E-3</v>
      </c>
      <c r="BA34" s="8">
        <f>AZ34*X36</f>
        <v>9.6135315337739051E-3</v>
      </c>
      <c r="BB34" s="8">
        <f>BA34*X36</f>
        <v>1.0642270100983422E-2</v>
      </c>
    </row>
    <row r="35" spans="2:54" ht="13.5" customHeight="1">
      <c r="B35" s="24"/>
      <c r="C35" s="34"/>
      <c r="D35" s="34"/>
      <c r="E35" s="34"/>
      <c r="F35" s="34"/>
      <c r="G35" s="34"/>
      <c r="H35" s="34"/>
      <c r="I35" s="34"/>
      <c r="J35" s="34"/>
      <c r="K35" s="34"/>
      <c r="L35" s="34"/>
      <c r="P35" s="1"/>
      <c r="Q35" s="1"/>
      <c r="R35" s="1"/>
      <c r="S35" s="1"/>
      <c r="T35" s="1"/>
      <c r="U35" s="1"/>
      <c r="W35" s="8" t="s">
        <v>32</v>
      </c>
      <c r="Y35" s="8">
        <f>Y34/X34</f>
        <v>1.0181818181818181</v>
      </c>
      <c r="Z35" s="8">
        <f>Z34/Y34</f>
        <v>0.98214285714285732</v>
      </c>
      <c r="AA35" s="8">
        <f t="shared" ref="AA35:AJ35" si="5">AA34/Z34</f>
        <v>1.0727272727272728</v>
      </c>
      <c r="AB35" s="8">
        <f t="shared" si="5"/>
        <v>1.3728813559322033</v>
      </c>
      <c r="AC35" s="8">
        <f t="shared" si="5"/>
        <v>1.2098765432098766</v>
      </c>
      <c r="AD35" s="8">
        <f t="shared" si="5"/>
        <v>1.0102040816326532</v>
      </c>
      <c r="AE35" s="8">
        <f t="shared" si="5"/>
        <v>0.91919191919191923</v>
      </c>
      <c r="AF35" s="8">
        <f t="shared" si="5"/>
        <v>0.92307692307692313</v>
      </c>
      <c r="AG35" s="8">
        <f t="shared" si="5"/>
        <v>1.1547619047619049</v>
      </c>
      <c r="AH35" s="8">
        <f t="shared" si="5"/>
        <v>1.134020618556701</v>
      </c>
      <c r="AI35" s="8">
        <f t="shared" si="5"/>
        <v>1.2272727272727273</v>
      </c>
      <c r="AJ35" s="8">
        <f t="shared" si="5"/>
        <v>1.162962962962963</v>
      </c>
      <c r="AK35" s="8">
        <f>AK34/AJ34</f>
        <v>1.2038216560509554</v>
      </c>
    </row>
    <row r="36" spans="2:54" ht="13.5" customHeight="1">
      <c r="B36" s="24"/>
      <c r="C36" s="34"/>
      <c r="D36" s="34"/>
      <c r="E36" s="34"/>
      <c r="F36" s="34"/>
      <c r="G36" s="34"/>
      <c r="H36" s="34"/>
      <c r="I36" s="34"/>
      <c r="J36" s="34"/>
      <c r="K36" s="34"/>
      <c r="L36" s="34"/>
      <c r="P36" s="1"/>
      <c r="Q36" s="1"/>
      <c r="R36" s="1"/>
      <c r="S36" s="1"/>
      <c r="T36" s="1"/>
      <c r="U36" s="1"/>
      <c r="W36" s="8" t="s">
        <v>33</v>
      </c>
      <c r="X36" s="8">
        <f>AVERAGE(Y35:AK35)</f>
        <v>1.1070094339000596</v>
      </c>
    </row>
    <row r="37" spans="2:54" ht="13.5" customHeight="1">
      <c r="B37" s="24"/>
      <c r="C37" s="34"/>
      <c r="D37" s="34"/>
      <c r="E37" s="34"/>
      <c r="F37" s="34"/>
      <c r="G37" s="34"/>
      <c r="H37" s="34"/>
      <c r="I37" s="34"/>
      <c r="J37" s="34"/>
      <c r="K37" s="34"/>
      <c r="L37" s="34"/>
      <c r="P37" s="1"/>
      <c r="Q37" s="1"/>
      <c r="R37" s="1"/>
      <c r="S37" s="1"/>
      <c r="T37" s="1"/>
      <c r="U37" s="1"/>
      <c r="W37" s="8" t="s">
        <v>62</v>
      </c>
      <c r="X37" s="8">
        <f>ROUND(E16/X33,5)</f>
        <v>3.0535700000000001</v>
      </c>
      <c r="Y37" s="8">
        <f>ROUND(E16/Y33,5)</f>
        <v>3.0158700000000001</v>
      </c>
      <c r="Z37" s="8">
        <f>ROUND(E16/Z33,5)</f>
        <v>3.0590299999999999</v>
      </c>
      <c r="AA37" s="8">
        <f>ROUND(E16/AA33,5)</f>
        <v>2.8934000000000002</v>
      </c>
      <c r="AB37" s="8">
        <f>ROUND(E16/AB33,5)</f>
        <v>2.0853700000000002</v>
      </c>
      <c r="AC37" s="8">
        <f>ROUND(E16/AC33,5)</f>
        <v>1.7220500000000001</v>
      </c>
      <c r="AD37" s="8">
        <f>ROUND(E16/AD33,5)</f>
        <v>1.7168699999999999</v>
      </c>
      <c r="AE37" s="8">
        <f>ROUND(E16/AE33,5)</f>
        <v>1.8526499999999999</v>
      </c>
      <c r="AF37" s="8">
        <f>ROUND(E16/AF33,5)</f>
        <v>2.0165099999999998</v>
      </c>
      <c r="AG37" s="8">
        <f>ROUND(E16/AG33,5)</f>
        <v>1.74312</v>
      </c>
      <c r="AH37" s="8">
        <f>ROUND(E16/AH33,5)</f>
        <v>1.5475099999999999</v>
      </c>
      <c r="AI37" s="8">
        <f>ROUND(E16/AI33,5)</f>
        <v>1.25183</v>
      </c>
      <c r="AJ37" s="8">
        <f>ROUND(E16/AJ33,5)</f>
        <v>1.0761499999999999</v>
      </c>
      <c r="AK37" s="8">
        <f>ROUND(E16/AK33,5)</f>
        <v>0.89717000000000002</v>
      </c>
      <c r="AL37" s="8">
        <f>AK37*X39</f>
        <v>0.82217612888710456</v>
      </c>
      <c r="AM37" s="8">
        <f>AL37*X39</f>
        <v>0.75345094788254707</v>
      </c>
      <c r="AN37" s="8">
        <f>AM37*X39</f>
        <v>0.69047046115718547</v>
      </c>
      <c r="AO37" s="8">
        <f>AN37*X39</f>
        <v>0.63275447336079971</v>
      </c>
      <c r="AP37" s="8">
        <f>AO37*X39</f>
        <v>0.57986292836784648</v>
      </c>
      <c r="AQ37" s="8">
        <f>AP37*X39</f>
        <v>0.53139255406513419</v>
      </c>
      <c r="AR37" s="8">
        <f>AQ37*X39</f>
        <v>0.48697378759956694</v>
      </c>
      <c r="AS37" s="8">
        <f>AR37*X39</f>
        <v>0.44626795764247917</v>
      </c>
      <c r="AT37" s="8">
        <f>AS37*X39</f>
        <v>0.40896470218670694</v>
      </c>
      <c r="AU37" s="8">
        <f>AT37*X39</f>
        <v>0.37477960218836376</v>
      </c>
      <c r="AV37" s="8">
        <f>AU37*X39</f>
        <v>0.34345201301099898</v>
      </c>
      <c r="AW37" s="8">
        <f>AV37*X39</f>
        <v>0.3147430771379634</v>
      </c>
      <c r="AX37" s="8">
        <f>AW37*X39</f>
        <v>0.28843390300088734</v>
      </c>
      <c r="AY37" s="8">
        <f>AX37*X39</f>
        <v>0.26432389603873085</v>
      </c>
      <c r="AZ37" s="8">
        <f>AY37*X39</f>
        <v>0.24222922926254914</v>
      </c>
      <c r="BA37" s="8">
        <f>AZ37*X39</f>
        <v>0.22198144166477882</v>
      </c>
      <c r="BB37" s="8">
        <f>BA37*X39</f>
        <v>0.20342615378660284</v>
      </c>
    </row>
    <row r="38" spans="2:54">
      <c r="B38" s="24"/>
      <c r="C38" s="34"/>
      <c r="D38" s="34"/>
      <c r="E38" s="34"/>
      <c r="F38" s="34"/>
      <c r="G38" s="34"/>
      <c r="H38" s="34"/>
      <c r="I38" s="34"/>
      <c r="J38" s="34"/>
      <c r="K38" s="34"/>
      <c r="L38" s="34"/>
      <c r="P38" s="1"/>
      <c r="Q38" s="1"/>
      <c r="R38" s="1"/>
      <c r="S38" s="1"/>
      <c r="T38" s="1"/>
      <c r="U38" s="1"/>
      <c r="W38" s="8" t="s">
        <v>32</v>
      </c>
      <c r="Y38" s="8">
        <f>Y37/X37</f>
        <v>0.98765379539358844</v>
      </c>
      <c r="Z38" s="8">
        <f t="shared" ref="Z38:AB38" si="6">Z37/Y37</f>
        <v>1.0143109616793826</v>
      </c>
      <c r="AA38" s="8">
        <f t="shared" si="6"/>
        <v>0.94585538553070758</v>
      </c>
      <c r="AB38" s="8">
        <f t="shared" si="6"/>
        <v>0.72073339323978713</v>
      </c>
      <c r="AC38" s="8">
        <f>AC37/AB37</f>
        <v>0.82577672067786534</v>
      </c>
      <c r="AD38" s="8">
        <f t="shared" ref="AD38" si="7">AD37/AC37</f>
        <v>0.99699195726024203</v>
      </c>
      <c r="AE38" s="8">
        <f>AE37/AD37</f>
        <v>1.0790857781893795</v>
      </c>
      <c r="AF38" s="8">
        <f t="shared" ref="AF38:AK38" si="8">AF37/AE37</f>
        <v>1.0884462796534693</v>
      </c>
      <c r="AG38" s="8">
        <f t="shared" si="8"/>
        <v>0.86442417840724828</v>
      </c>
      <c r="AH38" s="8">
        <f t="shared" si="8"/>
        <v>0.8877816788287668</v>
      </c>
      <c r="AI38" s="8">
        <f t="shared" si="8"/>
        <v>0.80893176780763942</v>
      </c>
      <c r="AJ38" s="8">
        <f t="shared" si="8"/>
        <v>0.85966145562895913</v>
      </c>
      <c r="AK38" s="8">
        <f t="shared" si="8"/>
        <v>0.83368489522836042</v>
      </c>
    </row>
    <row r="39" spans="2:54">
      <c r="B39" s="24"/>
      <c r="C39" s="34"/>
      <c r="D39" s="34"/>
      <c r="E39" s="34"/>
      <c r="F39" s="34"/>
      <c r="G39" s="34"/>
      <c r="H39" s="34"/>
      <c r="I39" s="34"/>
      <c r="J39" s="34"/>
      <c r="K39" s="34"/>
      <c r="L39" s="34"/>
      <c r="P39" s="1"/>
      <c r="Q39" s="1"/>
      <c r="R39" s="1"/>
      <c r="S39" s="1"/>
      <c r="T39" s="1"/>
      <c r="U39" s="1"/>
      <c r="W39" s="8" t="s">
        <v>33</v>
      </c>
      <c r="X39" s="8">
        <f>AVERAGE(Y38:AK38)</f>
        <v>0.91641063442503046</v>
      </c>
    </row>
    <row r="40" spans="2:54">
      <c r="B40" s="24"/>
      <c r="C40" s="34"/>
      <c r="D40" s="34"/>
      <c r="E40" s="34"/>
      <c r="F40" s="34"/>
      <c r="G40" s="34"/>
      <c r="H40" s="34"/>
      <c r="I40" s="34"/>
      <c r="J40" s="34"/>
      <c r="K40" s="34"/>
      <c r="L40" s="34"/>
      <c r="P40" s="1"/>
      <c r="Q40" s="1"/>
      <c r="R40" s="1"/>
      <c r="S40" s="1"/>
      <c r="T40" s="1"/>
      <c r="U40" s="1"/>
    </row>
    <row r="41" spans="2:54">
      <c r="B41" s="24"/>
      <c r="C41" s="34"/>
      <c r="D41" s="34"/>
      <c r="E41" s="34"/>
      <c r="F41" s="34"/>
      <c r="G41" s="34"/>
      <c r="H41" s="34"/>
      <c r="I41" s="34"/>
      <c r="J41" s="34"/>
      <c r="K41" s="34"/>
      <c r="L41" s="34"/>
      <c r="P41" s="1"/>
      <c r="Q41" s="1"/>
      <c r="R41" s="1"/>
      <c r="S41" s="1"/>
      <c r="T41" s="1"/>
      <c r="U41" s="1"/>
    </row>
    <row r="42" spans="2:54">
      <c r="B42" s="24"/>
      <c r="C42" s="34"/>
      <c r="D42" s="34"/>
      <c r="E42" s="34"/>
      <c r="F42" s="34"/>
      <c r="G42" s="34"/>
      <c r="H42" s="34"/>
      <c r="I42" s="34"/>
      <c r="J42" s="34"/>
      <c r="K42" s="34"/>
      <c r="L42" s="34"/>
      <c r="P42" s="1"/>
      <c r="Q42" s="1"/>
      <c r="R42" s="1"/>
      <c r="S42" s="1"/>
      <c r="T42" s="1"/>
      <c r="U42" s="1"/>
    </row>
    <row r="43" spans="2:54" ht="13.5" customHeight="1">
      <c r="B43" s="24"/>
      <c r="C43" s="34"/>
      <c r="D43" s="34"/>
      <c r="E43" s="34"/>
      <c r="F43" s="34"/>
      <c r="G43" s="34"/>
      <c r="H43" s="34"/>
      <c r="I43" s="34"/>
      <c r="J43" s="34"/>
      <c r="K43" s="34"/>
      <c r="L43" s="34"/>
      <c r="P43" s="1"/>
      <c r="Q43" s="1"/>
      <c r="R43" s="1"/>
      <c r="S43" s="1"/>
      <c r="T43" s="1"/>
      <c r="U43" s="1"/>
    </row>
    <row r="44" spans="2:54">
      <c r="B44" s="24"/>
      <c r="C44" s="34"/>
      <c r="D44" s="34"/>
      <c r="E44" s="34"/>
      <c r="F44" s="34"/>
      <c r="G44" s="34"/>
      <c r="H44" s="34"/>
      <c r="I44" s="34"/>
      <c r="J44" s="34"/>
      <c r="K44" s="34"/>
      <c r="L44" s="34"/>
      <c r="P44" s="1"/>
      <c r="Q44" s="1"/>
      <c r="R44" s="1"/>
      <c r="S44" s="1"/>
      <c r="T44" s="1"/>
      <c r="U44" s="1"/>
    </row>
    <row r="45" spans="2:54">
      <c r="B45" s="24"/>
      <c r="C45" s="34"/>
      <c r="D45" s="34"/>
      <c r="E45" s="34"/>
      <c r="F45" s="34"/>
      <c r="G45" s="34"/>
      <c r="H45" s="34"/>
      <c r="I45" s="34"/>
      <c r="J45" s="34"/>
      <c r="K45" s="34"/>
      <c r="L45" s="34"/>
      <c r="P45" s="1"/>
      <c r="Q45" s="1"/>
      <c r="R45" s="1"/>
      <c r="S45" s="1"/>
      <c r="T45" s="1"/>
      <c r="U45" s="1"/>
    </row>
    <row r="46" spans="2:54">
      <c r="B46" s="24"/>
      <c r="C46" s="34"/>
      <c r="D46" s="34"/>
      <c r="E46" s="34"/>
      <c r="F46" s="34"/>
      <c r="G46" s="34"/>
      <c r="H46" s="34"/>
      <c r="I46" s="34"/>
      <c r="J46" s="34"/>
      <c r="K46" s="34"/>
      <c r="L46" s="34"/>
      <c r="P46" s="1"/>
      <c r="Q46" s="1"/>
      <c r="R46" s="1"/>
      <c r="S46" s="1"/>
      <c r="T46" s="1"/>
      <c r="U46" s="1"/>
    </row>
    <row r="47" spans="2:54" ht="14.25" customHeight="1" thickBot="1">
      <c r="B47" s="24"/>
      <c r="C47" s="34"/>
      <c r="D47" s="34"/>
      <c r="E47" s="34"/>
      <c r="F47" s="34"/>
      <c r="G47" s="34"/>
      <c r="H47" s="34"/>
      <c r="I47" s="34"/>
      <c r="J47" s="34"/>
      <c r="K47" s="34"/>
      <c r="L47" s="34"/>
      <c r="P47" s="1"/>
      <c r="Q47" s="1"/>
      <c r="R47" s="1"/>
      <c r="S47" s="1"/>
      <c r="T47" s="1"/>
      <c r="U47" s="1"/>
      <c r="W47" s="183" t="s">
        <v>22</v>
      </c>
      <c r="X47" s="183"/>
      <c r="Y47" s="183"/>
      <c r="Z47" s="183"/>
      <c r="AA47" s="183"/>
      <c r="AB47" s="183"/>
      <c r="AC47" s="183"/>
      <c r="AD47" s="183"/>
      <c r="AE47" s="183"/>
      <c r="AF47" s="183"/>
      <c r="AG47" s="183"/>
      <c r="AH47" s="9"/>
    </row>
    <row r="48" spans="2:54">
      <c r="B48" s="24"/>
      <c r="C48" s="34"/>
      <c r="D48" s="34"/>
      <c r="E48" s="34"/>
      <c r="F48" s="34"/>
      <c r="G48" s="34"/>
      <c r="H48" s="34"/>
      <c r="I48" s="34"/>
      <c r="J48" s="34"/>
      <c r="K48" s="34"/>
      <c r="L48" s="34"/>
      <c r="P48" s="1"/>
      <c r="Q48" s="1"/>
      <c r="R48" s="1"/>
      <c r="S48" s="1"/>
      <c r="T48" s="1"/>
      <c r="U48" s="1"/>
      <c r="W48" s="189"/>
      <c r="X48" s="180"/>
      <c r="Y48" s="179" t="s">
        <v>14</v>
      </c>
      <c r="Z48" s="180"/>
      <c r="AA48" s="33" t="s">
        <v>12</v>
      </c>
      <c r="AB48" s="33" t="s">
        <v>15</v>
      </c>
      <c r="AC48" s="33" t="s">
        <v>16</v>
      </c>
      <c r="AD48" s="33" t="s">
        <v>17</v>
      </c>
      <c r="AE48" s="33" t="s">
        <v>18</v>
      </c>
      <c r="AF48" s="33" t="s">
        <v>19</v>
      </c>
      <c r="AG48" s="11" t="s">
        <v>20</v>
      </c>
    </row>
    <row r="49" spans="2:33">
      <c r="B49" s="24"/>
      <c r="C49" s="34"/>
      <c r="D49" s="34"/>
      <c r="E49" s="34"/>
      <c r="F49" s="34"/>
      <c r="G49" s="34"/>
      <c r="H49" s="34"/>
      <c r="I49" s="34"/>
      <c r="J49" s="34"/>
      <c r="K49" s="34"/>
      <c r="L49" s="34"/>
      <c r="P49" s="1"/>
      <c r="Q49" s="1"/>
      <c r="R49" s="1"/>
      <c r="S49" s="1"/>
      <c r="T49" s="1"/>
      <c r="U49" s="1"/>
      <c r="W49" s="193" t="s">
        <v>13</v>
      </c>
      <c r="X49" s="194"/>
      <c r="Y49" s="14" t="s">
        <v>23</v>
      </c>
      <c r="Z49" s="15">
        <v>1941.8959871662948</v>
      </c>
      <c r="AA49" s="36">
        <v>462.67651585713782</v>
      </c>
      <c r="AB49" s="36">
        <v>4.1970921812809285</v>
      </c>
      <c r="AC49" s="36">
        <v>1.0452086159032769E-3</v>
      </c>
      <c r="AD49" s="36">
        <v>942.34414422712405</v>
      </c>
      <c r="AE49" s="36">
        <v>2941.4478301054655</v>
      </c>
      <c r="AF49" s="36">
        <v>942.34414422712405</v>
      </c>
      <c r="AG49" s="12">
        <v>2941.4478301054655</v>
      </c>
    </row>
    <row r="50" spans="2:33" ht="14.25" thickBot="1">
      <c r="B50" s="24"/>
      <c r="C50" s="34"/>
      <c r="D50" s="34"/>
      <c r="E50" s="34"/>
      <c r="F50" s="34"/>
      <c r="G50" s="34"/>
      <c r="H50" s="34"/>
      <c r="I50" s="34"/>
      <c r="J50" s="34"/>
      <c r="K50" s="34"/>
      <c r="L50" s="34"/>
      <c r="P50" s="1"/>
      <c r="Q50" s="1"/>
      <c r="R50" s="1"/>
      <c r="S50" s="1"/>
      <c r="T50" s="1"/>
      <c r="U50" s="1"/>
      <c r="W50" s="195" t="s">
        <v>21</v>
      </c>
      <c r="X50" s="196"/>
      <c r="Y50" s="16" t="s">
        <v>24</v>
      </c>
      <c r="Z50" s="23">
        <v>-2.0497904054089713E-4</v>
      </c>
      <c r="AA50" s="10">
        <v>4.8515873402739683E-4</v>
      </c>
      <c r="AB50" s="10">
        <v>-0.42249891873392925</v>
      </c>
      <c r="AC50" s="10">
        <v>0.67956525061152262</v>
      </c>
      <c r="AD50" s="10">
        <v>-1.2531007629428537E-3</v>
      </c>
      <c r="AE50" s="10">
        <v>8.4314268186105944E-4</v>
      </c>
      <c r="AF50" s="10">
        <v>-1.2531007629428537E-3</v>
      </c>
      <c r="AG50" s="13">
        <v>8.4314268186105944E-4</v>
      </c>
    </row>
    <row r="51" spans="2:33">
      <c r="B51" s="24"/>
      <c r="C51" s="34"/>
      <c r="D51" s="34"/>
      <c r="E51" s="34"/>
      <c r="F51" s="34"/>
      <c r="G51" s="34"/>
      <c r="H51" s="34"/>
      <c r="I51" s="34"/>
      <c r="J51" s="34"/>
      <c r="K51" s="34"/>
      <c r="L51" s="34"/>
      <c r="P51" s="1"/>
      <c r="Q51" s="1"/>
      <c r="R51" s="1"/>
      <c r="S51" s="1"/>
      <c r="T51" s="1"/>
      <c r="U51" s="1"/>
      <c r="W51" s="29"/>
      <c r="X51" s="29"/>
      <c r="Y51" s="29"/>
      <c r="Z51" s="2"/>
      <c r="AA51" s="6"/>
      <c r="AB51" s="2"/>
      <c r="AC51" s="2"/>
      <c r="AD51" s="2"/>
    </row>
    <row r="52" spans="2:33">
      <c r="B52" s="24"/>
      <c r="C52" s="34"/>
      <c r="D52" s="34"/>
      <c r="E52" s="34"/>
      <c r="F52" s="34"/>
      <c r="G52" s="34"/>
      <c r="H52" s="34"/>
      <c r="I52" s="34"/>
      <c r="J52" s="34"/>
      <c r="K52" s="34"/>
      <c r="L52" s="34"/>
      <c r="P52" s="1"/>
      <c r="Q52" s="1"/>
      <c r="R52" s="1"/>
      <c r="S52" s="1"/>
      <c r="T52" s="1"/>
      <c r="U52" s="1"/>
    </row>
    <row r="53" spans="2:33">
      <c r="B53" s="24"/>
      <c r="C53" s="34"/>
      <c r="D53" s="34"/>
      <c r="E53" s="34"/>
      <c r="F53" s="34"/>
      <c r="G53" s="34"/>
      <c r="H53" s="34"/>
      <c r="I53" s="34"/>
      <c r="J53" s="34"/>
      <c r="K53" s="34"/>
      <c r="L53" s="34"/>
      <c r="P53" s="1"/>
      <c r="Q53" s="1"/>
      <c r="R53" s="1"/>
      <c r="S53" s="1"/>
      <c r="T53" s="1"/>
      <c r="U53" s="1"/>
    </row>
    <row r="54" spans="2:33" ht="27">
      <c r="B54" s="24"/>
      <c r="C54" s="34"/>
      <c r="D54" s="34"/>
      <c r="E54" s="34"/>
      <c r="F54" s="34"/>
      <c r="G54" s="34"/>
      <c r="H54" s="34"/>
      <c r="I54" s="34"/>
      <c r="J54" s="34"/>
      <c r="K54" s="34"/>
      <c r="L54" s="34"/>
      <c r="P54" s="1"/>
      <c r="Q54" s="1"/>
      <c r="R54" s="1"/>
      <c r="S54" s="1"/>
      <c r="T54" s="1"/>
      <c r="U54" s="1"/>
      <c r="W54" s="8" t="s">
        <v>67</v>
      </c>
      <c r="X54" s="38">
        <f>ROUND(AVERAGE(E16:S16),0)</f>
        <v>1747</v>
      </c>
    </row>
    <row r="55" spans="2:33">
      <c r="B55" s="24"/>
      <c r="C55" s="34"/>
      <c r="D55" s="34"/>
      <c r="E55" s="34"/>
      <c r="F55" s="34"/>
      <c r="G55" s="34"/>
      <c r="H55" s="34"/>
      <c r="I55" s="34"/>
      <c r="J55" s="34"/>
      <c r="K55" s="34"/>
      <c r="L55" s="34"/>
      <c r="P55" s="1"/>
      <c r="Q55" s="1"/>
      <c r="R55" s="1"/>
      <c r="S55" s="1"/>
      <c r="T55" s="1"/>
      <c r="U55" s="1"/>
      <c r="X55" s="37" t="s">
        <v>8</v>
      </c>
      <c r="Y55" s="37" t="s">
        <v>9</v>
      </c>
      <c r="Z55" s="37" t="s">
        <v>10</v>
      </c>
      <c r="AA55" s="37" t="s">
        <v>11</v>
      </c>
      <c r="AB55" s="37" t="s">
        <v>4</v>
      </c>
      <c r="AC55" s="37" t="s">
        <v>3</v>
      </c>
      <c r="AD55" s="37" t="s">
        <v>70</v>
      </c>
    </row>
    <row r="56" spans="2:33">
      <c r="P56" s="1"/>
      <c r="Q56" s="1"/>
      <c r="R56" s="1"/>
      <c r="S56" s="1"/>
      <c r="T56" s="1"/>
      <c r="U56" s="1"/>
      <c r="X56" s="7">
        <v>1773</v>
      </c>
      <c r="Y56" s="7">
        <v>1827</v>
      </c>
      <c r="Z56" s="7">
        <v>1815</v>
      </c>
      <c r="AA56" s="7">
        <v>1796</v>
      </c>
      <c r="AB56" s="3">
        <v>1846</v>
      </c>
      <c r="AC56" s="3">
        <v>1797</v>
      </c>
      <c r="AD56" s="3">
        <v>1751</v>
      </c>
    </row>
    <row r="57" spans="2:33">
      <c r="N57" s="9"/>
      <c r="O57" s="9"/>
      <c r="P57" s="9"/>
      <c r="W57" s="8" t="s">
        <v>68</v>
      </c>
      <c r="X57" s="38">
        <f>X56-X54</f>
        <v>26</v>
      </c>
      <c r="Y57" s="38">
        <f>Y56-X54</f>
        <v>80</v>
      </c>
      <c r="Z57" s="38">
        <f>Z56-X54</f>
        <v>68</v>
      </c>
      <c r="AA57" s="38">
        <f>AA56-X54</f>
        <v>49</v>
      </c>
      <c r="AB57" s="38">
        <f>AB56-X54</f>
        <v>99</v>
      </c>
      <c r="AC57" s="38">
        <f>AC56-X54</f>
        <v>50</v>
      </c>
      <c r="AD57" s="38">
        <f>AD56-X54</f>
        <v>4</v>
      </c>
    </row>
    <row r="58" spans="2:33">
      <c r="W58" s="8" t="s">
        <v>69</v>
      </c>
      <c r="X58" s="38">
        <f>ROUND(AVERAGE(X57:AD57),0)</f>
        <v>54</v>
      </c>
    </row>
    <row r="63" spans="2:33" ht="13.5" customHeight="1"/>
    <row r="64" spans="2:33" ht="13.5" customHeight="1"/>
    <row r="65" spans="1:56" ht="13.5" customHeight="1">
      <c r="A65" s="8" t="s">
        <v>6</v>
      </c>
    </row>
    <row r="66" spans="1:56" ht="13.5" customHeight="1"/>
    <row r="67" spans="1:56" ht="13.5" customHeight="1"/>
    <row r="72" spans="1:56">
      <c r="W72" s="175"/>
      <c r="X72" s="176"/>
      <c r="Y72" s="177"/>
      <c r="Z72" s="30" t="s">
        <v>25</v>
      </c>
      <c r="AA72" s="30" t="s">
        <v>26</v>
      </c>
      <c r="AB72" s="30" t="s">
        <v>27</v>
      </c>
      <c r="AC72" s="30" t="s">
        <v>28</v>
      </c>
      <c r="AD72" s="30" t="s">
        <v>7</v>
      </c>
      <c r="AE72" s="30" t="s">
        <v>8</v>
      </c>
      <c r="AF72" s="30" t="s">
        <v>9</v>
      </c>
      <c r="AG72" s="30" t="s">
        <v>10</v>
      </c>
      <c r="AH72" s="30" t="s">
        <v>11</v>
      </c>
      <c r="AI72" s="30" t="s">
        <v>4</v>
      </c>
      <c r="AJ72" s="30" t="s">
        <v>3</v>
      </c>
      <c r="AK72" s="30" t="s">
        <v>2</v>
      </c>
      <c r="AL72" s="30" t="s">
        <v>1</v>
      </c>
      <c r="AM72" s="30" t="s">
        <v>0</v>
      </c>
      <c r="AN72" s="30" t="s">
        <v>29</v>
      </c>
      <c r="AO72" s="30" t="s">
        <v>34</v>
      </c>
      <c r="AP72" s="30" t="s">
        <v>35</v>
      </c>
      <c r="AQ72" s="30" t="s">
        <v>36</v>
      </c>
      <c r="AR72" s="30" t="s">
        <v>37</v>
      </c>
      <c r="AS72" s="30" t="s">
        <v>38</v>
      </c>
      <c r="AT72" s="30" t="s">
        <v>39</v>
      </c>
      <c r="AU72" s="30" t="s">
        <v>40</v>
      </c>
      <c r="AV72" s="30" t="s">
        <v>41</v>
      </c>
      <c r="AW72" s="30" t="s">
        <v>42</v>
      </c>
      <c r="AX72" s="30" t="s">
        <v>43</v>
      </c>
      <c r="AY72" s="30" t="s">
        <v>44</v>
      </c>
      <c r="AZ72" s="30" t="s">
        <v>45</v>
      </c>
      <c r="BA72" s="30" t="s">
        <v>46</v>
      </c>
      <c r="BB72" s="30" t="s">
        <v>47</v>
      </c>
      <c r="BC72" s="30" t="s">
        <v>48</v>
      </c>
      <c r="BD72" s="30" t="s">
        <v>49</v>
      </c>
    </row>
    <row r="73" spans="1:56">
      <c r="W73" s="197" t="s">
        <v>5</v>
      </c>
      <c r="X73" s="198"/>
      <c r="Y73" s="199"/>
      <c r="Z73" s="26">
        <v>1009.028</v>
      </c>
      <c r="AA73" s="26">
        <v>1001.94</v>
      </c>
      <c r="AB73" s="26">
        <v>995.81200000000001</v>
      </c>
      <c r="AC73" s="26">
        <v>981.04100000000005</v>
      </c>
      <c r="AD73" s="26">
        <v>971.47500000000002</v>
      </c>
      <c r="AE73" s="26">
        <v>965.976</v>
      </c>
      <c r="AF73" s="26">
        <v>964.73299999999995</v>
      </c>
      <c r="AG73" s="26">
        <v>951</v>
      </c>
      <c r="AH73" s="27">
        <v>937</v>
      </c>
      <c r="AI73" s="27">
        <v>931</v>
      </c>
      <c r="AJ73" s="27">
        <v>930</v>
      </c>
      <c r="AK73" s="27">
        <v>926</v>
      </c>
      <c r="AL73" s="27">
        <v>916</v>
      </c>
      <c r="AM73" s="27">
        <v>912</v>
      </c>
      <c r="AN73" s="27">
        <v>902</v>
      </c>
      <c r="AO73" s="27">
        <v>897</v>
      </c>
      <c r="AP73" s="8">
        <v>889</v>
      </c>
      <c r="AQ73" s="8">
        <v>880</v>
      </c>
      <c r="AR73" s="8">
        <v>870</v>
      </c>
      <c r="AS73" s="8">
        <v>861</v>
      </c>
      <c r="AT73" s="8">
        <v>850</v>
      </c>
      <c r="AU73" s="8">
        <v>840</v>
      </c>
      <c r="AV73" s="8">
        <v>831</v>
      </c>
      <c r="AW73" s="8">
        <v>821</v>
      </c>
      <c r="AX73" s="8">
        <v>813</v>
      </c>
      <c r="AY73" s="8">
        <v>804</v>
      </c>
      <c r="AZ73" s="8">
        <v>795</v>
      </c>
      <c r="BA73" s="8">
        <v>785</v>
      </c>
      <c r="BB73" s="8">
        <v>776</v>
      </c>
      <c r="BC73" s="8">
        <v>768</v>
      </c>
      <c r="BD73" s="8">
        <v>758</v>
      </c>
    </row>
    <row r="74" spans="1:56">
      <c r="W74" s="166" t="s">
        <v>60</v>
      </c>
      <c r="X74" s="167"/>
      <c r="Y74" s="35" t="s">
        <v>52</v>
      </c>
      <c r="Z74" s="7">
        <v>1710</v>
      </c>
      <c r="AA74" s="7">
        <v>1699</v>
      </c>
      <c r="AB74" s="7">
        <v>1721</v>
      </c>
      <c r="AC74" s="7">
        <v>1728</v>
      </c>
      <c r="AD74" s="7">
        <v>1666</v>
      </c>
      <c r="AE74" s="7">
        <v>1773</v>
      </c>
      <c r="AF74" s="7">
        <v>1827</v>
      </c>
      <c r="AG74" s="7">
        <v>1815</v>
      </c>
      <c r="AH74" s="7">
        <v>1796</v>
      </c>
      <c r="AI74" s="3">
        <v>1846</v>
      </c>
      <c r="AJ74" s="3">
        <v>1797</v>
      </c>
      <c r="AK74" s="3">
        <v>1751</v>
      </c>
      <c r="AL74" s="3">
        <v>1645</v>
      </c>
      <c r="AM74" s="3">
        <v>1726</v>
      </c>
      <c r="AN74" s="17">
        <v>1698</v>
      </c>
      <c r="AO74" s="28">
        <v>1645</v>
      </c>
      <c r="AP74" s="8">
        <v>1631</v>
      </c>
      <c r="AQ74" s="8">
        <v>1614</v>
      </c>
      <c r="AR74" s="8">
        <v>1597</v>
      </c>
      <c r="AS74" s="8">
        <v>1579</v>
      </c>
      <c r="AT74" s="8">
        <v>1561</v>
      </c>
      <c r="AU74" s="8">
        <v>1542</v>
      </c>
      <c r="AV74" s="8">
        <v>1524</v>
      </c>
      <c r="AW74" s="8">
        <v>1507</v>
      </c>
      <c r="AX74" s="8">
        <v>1491</v>
      </c>
      <c r="AY74" s="8">
        <v>1475</v>
      </c>
      <c r="AZ74" s="8">
        <v>1458</v>
      </c>
      <c r="BA74" s="8">
        <v>1441</v>
      </c>
      <c r="BB74" s="8">
        <v>1424</v>
      </c>
      <c r="BC74" s="8">
        <v>1408</v>
      </c>
      <c r="BD74" s="8">
        <v>1391</v>
      </c>
    </row>
    <row r="75" spans="1:56">
      <c r="W75" s="168"/>
      <c r="X75" s="169"/>
      <c r="Y75" s="35" t="s">
        <v>53</v>
      </c>
      <c r="Z75" s="7">
        <v>1710</v>
      </c>
      <c r="AA75" s="7">
        <v>1699</v>
      </c>
      <c r="AB75" s="7">
        <v>1721</v>
      </c>
      <c r="AC75" s="7">
        <v>1728</v>
      </c>
      <c r="AD75" s="7">
        <v>1666</v>
      </c>
      <c r="AE75" s="7">
        <v>1773</v>
      </c>
      <c r="AF75" s="7">
        <v>1827</v>
      </c>
      <c r="AG75" s="7">
        <v>1815</v>
      </c>
      <c r="AH75" s="7">
        <v>1796</v>
      </c>
      <c r="AI75" s="3">
        <v>1846</v>
      </c>
      <c r="AJ75" s="3">
        <v>1797</v>
      </c>
      <c r="AK75" s="3">
        <v>1751</v>
      </c>
      <c r="AL75" s="3">
        <v>1645</v>
      </c>
      <c r="AM75" s="3">
        <v>1726</v>
      </c>
      <c r="AN75" s="17">
        <v>1698</v>
      </c>
      <c r="AO75" s="25">
        <v>1698</v>
      </c>
      <c r="AP75" s="8">
        <v>1698</v>
      </c>
      <c r="AQ75" s="8">
        <v>1698</v>
      </c>
      <c r="AR75" s="8">
        <v>1698</v>
      </c>
      <c r="AS75" s="8">
        <v>1698</v>
      </c>
      <c r="AT75" s="8">
        <v>1698</v>
      </c>
      <c r="AU75" s="8">
        <v>1698</v>
      </c>
      <c r="AV75" s="8">
        <v>1698</v>
      </c>
      <c r="AW75" s="8">
        <v>1698</v>
      </c>
      <c r="AX75" s="8">
        <v>1698</v>
      </c>
      <c r="AY75" s="8">
        <v>1698</v>
      </c>
      <c r="AZ75" s="8">
        <v>1698</v>
      </c>
      <c r="BA75" s="8">
        <v>1698</v>
      </c>
      <c r="BB75" s="8">
        <v>1698</v>
      </c>
      <c r="BC75" s="8">
        <v>1698</v>
      </c>
      <c r="BD75" s="8">
        <v>1698</v>
      </c>
    </row>
    <row r="76" spans="1:56">
      <c r="W76" s="168"/>
      <c r="X76" s="169"/>
      <c r="Y76" s="35" t="s">
        <v>54</v>
      </c>
      <c r="Z76" s="7">
        <v>1710</v>
      </c>
      <c r="AA76" s="7">
        <v>1699</v>
      </c>
      <c r="AB76" s="7">
        <v>1721</v>
      </c>
      <c r="AC76" s="7">
        <v>1728</v>
      </c>
      <c r="AD76" s="7">
        <v>1666</v>
      </c>
      <c r="AE76" s="7">
        <v>1773</v>
      </c>
      <c r="AF76" s="7">
        <v>1827</v>
      </c>
      <c r="AG76" s="7">
        <v>1815</v>
      </c>
      <c r="AH76" s="7">
        <v>1796</v>
      </c>
      <c r="AI76" s="3">
        <v>1846</v>
      </c>
      <c r="AJ76" s="3">
        <v>1797</v>
      </c>
      <c r="AK76" s="3">
        <v>1751</v>
      </c>
      <c r="AL76" s="3">
        <v>1645</v>
      </c>
      <c r="AM76" s="3">
        <v>1726</v>
      </c>
      <c r="AN76" s="17">
        <v>1698</v>
      </c>
      <c r="AO76" s="28">
        <v>1752</v>
      </c>
      <c r="AP76" s="8">
        <v>1752</v>
      </c>
      <c r="AQ76" s="8">
        <v>1752</v>
      </c>
      <c r="AR76" s="8">
        <v>1752</v>
      </c>
      <c r="AS76" s="8">
        <v>1752</v>
      </c>
      <c r="AT76" s="8">
        <v>1752</v>
      </c>
      <c r="AU76" s="8">
        <v>1752</v>
      </c>
      <c r="AV76" s="8">
        <v>1752</v>
      </c>
      <c r="AW76" s="8">
        <v>1752</v>
      </c>
      <c r="AX76" s="8">
        <v>1752</v>
      </c>
      <c r="AY76" s="8">
        <v>1752</v>
      </c>
      <c r="AZ76" s="8">
        <v>1752</v>
      </c>
      <c r="BA76" s="8">
        <v>1752</v>
      </c>
      <c r="BB76" s="8">
        <v>1752</v>
      </c>
      <c r="BC76" s="8">
        <v>1752</v>
      </c>
      <c r="BD76" s="8">
        <v>1752</v>
      </c>
    </row>
    <row r="77" spans="1:56">
      <c r="W77" s="168"/>
      <c r="X77" s="169"/>
      <c r="Y77" s="35" t="s">
        <v>55</v>
      </c>
      <c r="Z77" s="7">
        <v>1710</v>
      </c>
      <c r="AA77" s="7">
        <v>1699</v>
      </c>
      <c r="AB77" s="7">
        <v>1721</v>
      </c>
      <c r="AC77" s="7">
        <v>1728</v>
      </c>
      <c r="AD77" s="7">
        <v>1666</v>
      </c>
      <c r="AE77" s="7">
        <v>1773</v>
      </c>
      <c r="AF77" s="7">
        <v>1827</v>
      </c>
      <c r="AG77" s="7">
        <v>1815</v>
      </c>
      <c r="AH77" s="7">
        <v>1796</v>
      </c>
      <c r="AI77" s="3">
        <v>1846</v>
      </c>
      <c r="AJ77" s="3">
        <v>1797</v>
      </c>
      <c r="AK77" s="3">
        <v>1751</v>
      </c>
      <c r="AL77" s="3">
        <v>1645</v>
      </c>
      <c r="AM77" s="3">
        <v>1726</v>
      </c>
      <c r="AN77" s="17">
        <v>1698</v>
      </c>
      <c r="AO77" s="27">
        <v>1758</v>
      </c>
      <c r="AP77" s="8">
        <v>1760</v>
      </c>
      <c r="AQ77" s="8">
        <v>1762</v>
      </c>
      <c r="AR77" s="8">
        <v>1763</v>
      </c>
      <c r="AS77" s="8">
        <v>1765</v>
      </c>
      <c r="AT77" s="8">
        <v>1768</v>
      </c>
      <c r="AU77" s="8">
        <v>1770</v>
      </c>
      <c r="AV77" s="8">
        <v>1772</v>
      </c>
      <c r="AW77" s="8">
        <v>1774</v>
      </c>
      <c r="AX77" s="8">
        <v>1775</v>
      </c>
      <c r="AY77" s="8">
        <v>1777</v>
      </c>
      <c r="AZ77" s="8">
        <v>1779</v>
      </c>
      <c r="BA77" s="8">
        <v>1781</v>
      </c>
      <c r="BB77" s="8">
        <v>1783</v>
      </c>
      <c r="BC77" s="8">
        <v>1785</v>
      </c>
      <c r="BD77" s="8">
        <v>1786</v>
      </c>
    </row>
    <row r="78" spans="1:56">
      <c r="W78" s="170"/>
      <c r="X78" s="171"/>
      <c r="Y78" s="35" t="s">
        <v>63</v>
      </c>
      <c r="Z78" s="7">
        <v>1710</v>
      </c>
      <c r="AA78" s="7">
        <v>1699</v>
      </c>
      <c r="AB78" s="7">
        <v>1721</v>
      </c>
      <c r="AC78" s="7">
        <v>1728</v>
      </c>
      <c r="AD78" s="7">
        <v>1666</v>
      </c>
      <c r="AE78" s="7">
        <v>1773</v>
      </c>
      <c r="AF78" s="7">
        <v>1827</v>
      </c>
      <c r="AG78" s="7">
        <v>1815</v>
      </c>
      <c r="AH78" s="7">
        <v>1796</v>
      </c>
      <c r="AI78" s="3">
        <v>1846</v>
      </c>
      <c r="AJ78" s="3">
        <v>1797</v>
      </c>
      <c r="AK78" s="3">
        <v>1751</v>
      </c>
      <c r="AL78" s="3">
        <v>1645</v>
      </c>
      <c r="AM78" s="3">
        <v>1726</v>
      </c>
      <c r="AN78" s="17">
        <v>1698</v>
      </c>
      <c r="AO78" s="25">
        <v>1776</v>
      </c>
      <c r="AP78" s="8">
        <v>1802</v>
      </c>
      <c r="AQ78" s="8">
        <v>1825</v>
      </c>
      <c r="AR78" s="8">
        <v>1848</v>
      </c>
      <c r="AS78" s="8">
        <v>1870</v>
      </c>
      <c r="AT78" s="8">
        <v>1891</v>
      </c>
      <c r="AU78" s="8">
        <v>1912</v>
      </c>
      <c r="AV78" s="8">
        <v>1934</v>
      </c>
      <c r="AW78" s="8">
        <v>1957</v>
      </c>
      <c r="AX78" s="8">
        <v>1982</v>
      </c>
      <c r="AY78" s="8">
        <v>2006</v>
      </c>
      <c r="AZ78" s="8">
        <v>2029</v>
      </c>
      <c r="BA78" s="8">
        <v>2052</v>
      </c>
      <c r="BB78" s="8">
        <v>2076</v>
      </c>
      <c r="BC78" s="8">
        <v>2100</v>
      </c>
      <c r="BD78" s="8">
        <v>2123</v>
      </c>
    </row>
  </sheetData>
  <mergeCells count="26">
    <mergeCell ref="W49:X49"/>
    <mergeCell ref="W50:X50"/>
    <mergeCell ref="W72:Y72"/>
    <mergeCell ref="W73:Y73"/>
    <mergeCell ref="W74:X78"/>
    <mergeCell ref="A1:S1"/>
    <mergeCell ref="Y48:Z48"/>
    <mergeCell ref="X21:AF21"/>
    <mergeCell ref="B27:T27"/>
    <mergeCell ref="W47:AG47"/>
    <mergeCell ref="B29:D29"/>
    <mergeCell ref="B30:D30"/>
    <mergeCell ref="B31:D31"/>
    <mergeCell ref="B14:D14"/>
    <mergeCell ref="B15:D15"/>
    <mergeCell ref="B16:D16"/>
    <mergeCell ref="W48:X48"/>
    <mergeCell ref="T17:U17"/>
    <mergeCell ref="T16:U16"/>
    <mergeCell ref="T15:U15"/>
    <mergeCell ref="B28:T28"/>
    <mergeCell ref="B21:C23"/>
    <mergeCell ref="B24:C26"/>
    <mergeCell ref="B17:D17"/>
    <mergeCell ref="B18:S18"/>
    <mergeCell ref="B20:D20"/>
  </mergeCells>
  <phoneticPr fontId="2"/>
  <printOptions horizontalCentered="1" verticalCentered="1"/>
  <pageMargins left="0.51181102362204722" right="0.51181102362204722" top="0.74803149606299213" bottom="0.74803149606299213" header="0.31496062992125984" footer="0.31496062992125984"/>
  <pageSetup paperSize="8" scale="98" orientation="landscape" r:id="rId1"/>
  <headerFooter>
    <oddHeader xml:space="preserve">&amp;R
</oddHeader>
  </headerFooter>
  <rowBreaks count="1" manualBreakCount="1">
    <brk id="31" max="1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view="pageBreakPreview" zoomScaleNormal="100" zoomScaleSheetLayoutView="100" workbookViewId="0">
      <selection activeCell="J5" sqref="J5"/>
    </sheetView>
  </sheetViews>
  <sheetFormatPr defaultRowHeight="13.5"/>
  <cols>
    <col min="1" max="1" width="5.875" style="8" customWidth="1"/>
    <col min="2" max="3" width="14.875" style="8" customWidth="1"/>
    <col min="4" max="5" width="10.125" style="8" customWidth="1"/>
    <col min="6" max="6" width="12.625" style="8" customWidth="1"/>
    <col min="7" max="12" width="10.125" style="8" customWidth="1"/>
    <col min="13" max="16384" width="9" style="8"/>
  </cols>
  <sheetData>
    <row r="1" spans="1:13" ht="17.25">
      <c r="A1" s="207" t="s">
        <v>185</v>
      </c>
      <c r="B1" s="207"/>
      <c r="C1" s="207"/>
      <c r="D1" s="207"/>
      <c r="E1" s="207"/>
      <c r="F1" s="207"/>
      <c r="G1" s="207"/>
      <c r="H1" s="207"/>
      <c r="I1" s="207"/>
      <c r="J1" s="207"/>
      <c r="K1" s="207"/>
      <c r="L1" s="207"/>
      <c r="M1" s="207"/>
    </row>
    <row r="3" spans="1:13" ht="74.25" customHeight="1">
      <c r="A3" s="208" t="s">
        <v>166</v>
      </c>
      <c r="B3" s="209"/>
      <c r="C3" s="209"/>
      <c r="D3" s="209"/>
      <c r="E3" s="209"/>
      <c r="F3" s="209"/>
      <c r="G3" s="209"/>
      <c r="H3" s="209"/>
      <c r="I3" s="209"/>
      <c r="J3" s="209"/>
      <c r="K3" s="209"/>
      <c r="L3" s="209"/>
      <c r="M3" s="210"/>
    </row>
    <row r="4" spans="1:13">
      <c r="A4" s="90"/>
      <c r="B4" s="90"/>
      <c r="C4" s="90"/>
      <c r="D4" s="90"/>
      <c r="E4" s="90"/>
      <c r="F4" s="90"/>
      <c r="G4" s="90"/>
      <c r="H4" s="90"/>
      <c r="I4" s="90"/>
      <c r="J4" s="90"/>
      <c r="K4" s="90"/>
      <c r="L4" s="90"/>
      <c r="M4" s="90"/>
    </row>
    <row r="5" spans="1:13">
      <c r="A5" s="90"/>
      <c r="B5" s="90"/>
      <c r="C5" s="90"/>
      <c r="D5" s="90"/>
      <c r="E5" s="90"/>
      <c r="F5" s="90"/>
      <c r="G5" s="90"/>
      <c r="H5" s="90"/>
      <c r="I5" s="90"/>
      <c r="J5" s="90"/>
      <c r="K5" s="90"/>
      <c r="L5" s="90"/>
      <c r="M5" s="90"/>
    </row>
    <row r="6" spans="1:13" ht="13.5" customHeight="1">
      <c r="A6" s="200"/>
      <c r="B6" s="202" t="s">
        <v>162</v>
      </c>
      <c r="C6" s="202" t="s">
        <v>140</v>
      </c>
      <c r="D6" s="91"/>
      <c r="E6" s="91"/>
      <c r="F6" s="90"/>
      <c r="G6" s="90"/>
      <c r="H6" s="90"/>
      <c r="I6" s="92"/>
      <c r="J6" s="92"/>
      <c r="K6" s="92"/>
      <c r="L6" s="92"/>
      <c r="M6" s="90"/>
    </row>
    <row r="7" spans="1:13" ht="13.5" customHeight="1">
      <c r="A7" s="211"/>
      <c r="B7" s="202"/>
      <c r="C7" s="202"/>
      <c r="D7" s="91"/>
      <c r="E7" s="93" t="s">
        <v>164</v>
      </c>
      <c r="F7" s="90"/>
      <c r="G7" s="90"/>
      <c r="H7" s="90"/>
      <c r="I7" s="92"/>
      <c r="J7" s="92"/>
      <c r="K7" s="92"/>
      <c r="L7" s="92"/>
      <c r="M7" s="90"/>
    </row>
    <row r="8" spans="1:13" ht="13.5" customHeight="1" thickBot="1">
      <c r="A8" s="201"/>
      <c r="B8" s="202"/>
      <c r="C8" s="202"/>
      <c r="D8" s="91"/>
      <c r="E8" s="93"/>
      <c r="F8" s="90"/>
      <c r="G8" s="90"/>
      <c r="H8" s="90"/>
      <c r="I8" s="92"/>
      <c r="J8" s="92"/>
      <c r="K8" s="92"/>
      <c r="L8" s="92"/>
      <c r="M8" s="90"/>
    </row>
    <row r="9" spans="1:13">
      <c r="A9" s="94" t="s">
        <v>117</v>
      </c>
      <c r="B9" s="95">
        <v>20791</v>
      </c>
      <c r="C9" s="95">
        <v>931621</v>
      </c>
      <c r="D9" s="91"/>
      <c r="E9" s="85" t="s">
        <v>157</v>
      </c>
      <c r="F9" s="85"/>
      <c r="G9" s="91"/>
      <c r="H9" s="91"/>
      <c r="I9" s="91"/>
      <c r="J9" s="91"/>
      <c r="K9" s="91"/>
      <c r="L9" s="91"/>
      <c r="M9" s="91"/>
    </row>
    <row r="10" spans="1:13">
      <c r="A10" s="94" t="s">
        <v>118</v>
      </c>
      <c r="B10" s="95">
        <v>20619</v>
      </c>
      <c r="C10" s="95">
        <v>930452</v>
      </c>
      <c r="D10" s="91"/>
      <c r="E10" s="96" t="s">
        <v>158</v>
      </c>
      <c r="F10" s="96">
        <v>0.99506531925498987</v>
      </c>
      <c r="G10" s="91"/>
      <c r="H10" s="91"/>
      <c r="I10" s="97"/>
      <c r="J10" s="97"/>
      <c r="K10" s="97"/>
      <c r="L10" s="97"/>
      <c r="M10" s="91"/>
    </row>
    <row r="11" spans="1:13" ht="13.5" customHeight="1">
      <c r="A11" s="94" t="s">
        <v>119</v>
      </c>
      <c r="B11" s="95">
        <v>20496</v>
      </c>
      <c r="C11" s="95">
        <v>926388</v>
      </c>
      <c r="D11" s="91"/>
      <c r="E11" s="96" t="s">
        <v>159</v>
      </c>
      <c r="F11" s="96">
        <v>0.99015498958403492</v>
      </c>
      <c r="G11" s="91"/>
      <c r="H11" s="91"/>
      <c r="I11" s="91"/>
      <c r="J11" s="91"/>
      <c r="K11" s="91"/>
      <c r="L11" s="91"/>
      <c r="M11" s="91"/>
    </row>
    <row r="12" spans="1:13" ht="14.25" thickBot="1">
      <c r="A12" s="98" t="s">
        <v>120</v>
      </c>
      <c r="B12" s="99">
        <v>20339</v>
      </c>
      <c r="C12" s="99">
        <v>915610</v>
      </c>
      <c r="D12" s="91"/>
      <c r="E12" s="96" t="s">
        <v>160</v>
      </c>
      <c r="F12" s="96">
        <v>0.98769373698004359</v>
      </c>
      <c r="G12" s="91"/>
      <c r="H12" s="91"/>
      <c r="I12" s="91"/>
      <c r="J12" s="91"/>
      <c r="K12" s="91"/>
      <c r="L12" s="91"/>
      <c r="M12" s="91"/>
    </row>
    <row r="13" spans="1:13">
      <c r="A13" s="100" t="s">
        <v>121</v>
      </c>
      <c r="B13" s="101">
        <v>20146</v>
      </c>
      <c r="C13" s="102">
        <v>912470</v>
      </c>
      <c r="D13" s="91"/>
      <c r="E13" s="96" t="s">
        <v>12</v>
      </c>
      <c r="F13" s="96">
        <v>2560.9182600861477</v>
      </c>
      <c r="G13" s="91"/>
      <c r="H13" s="91"/>
      <c r="I13" s="91"/>
      <c r="J13" s="91"/>
      <c r="K13" s="91"/>
      <c r="L13" s="91"/>
      <c r="M13" s="91"/>
    </row>
    <row r="14" spans="1:13" ht="14.25" thickBot="1">
      <c r="A14" s="103" t="s">
        <v>122</v>
      </c>
      <c r="B14" s="104">
        <v>19966</v>
      </c>
      <c r="C14" s="105">
        <v>901649</v>
      </c>
      <c r="D14" s="91"/>
      <c r="E14" s="106" t="s">
        <v>161</v>
      </c>
      <c r="F14" s="106">
        <v>6</v>
      </c>
      <c r="G14" s="91"/>
      <c r="H14" s="91"/>
      <c r="I14" s="97"/>
      <c r="J14" s="97"/>
      <c r="K14" s="97"/>
      <c r="L14" s="97"/>
      <c r="M14" s="91"/>
    </row>
    <row r="15" spans="1:13" ht="14.25" customHeight="1" thickBot="1">
      <c r="A15" s="103" t="s">
        <v>123</v>
      </c>
      <c r="B15" s="82">
        <v>19805</v>
      </c>
      <c r="C15" s="87">
        <v>891984</v>
      </c>
      <c r="D15" s="91"/>
      <c r="E15" s="91"/>
      <c r="F15" s="91"/>
      <c r="G15" s="91"/>
      <c r="H15" s="91"/>
      <c r="I15" s="91"/>
      <c r="J15" s="91"/>
      <c r="K15" s="91"/>
      <c r="L15" s="91"/>
      <c r="M15" s="91"/>
    </row>
    <row r="16" spans="1:13">
      <c r="A16" s="103" t="s">
        <v>124</v>
      </c>
      <c r="B16" s="82">
        <v>19569</v>
      </c>
      <c r="C16" s="87">
        <v>881370</v>
      </c>
      <c r="D16" s="91"/>
      <c r="E16" s="84"/>
      <c r="F16" s="84" t="s">
        <v>14</v>
      </c>
      <c r="G16" s="84" t="s">
        <v>12</v>
      </c>
      <c r="H16" s="84" t="s">
        <v>15</v>
      </c>
      <c r="I16" s="84" t="s">
        <v>16</v>
      </c>
      <c r="J16" s="84" t="s">
        <v>17</v>
      </c>
      <c r="K16" s="84" t="s">
        <v>18</v>
      </c>
      <c r="L16" s="84" t="s">
        <v>19</v>
      </c>
      <c r="M16" s="84" t="s">
        <v>20</v>
      </c>
    </row>
    <row r="17" spans="1:13">
      <c r="A17" s="103" t="s">
        <v>125</v>
      </c>
      <c r="B17" s="82">
        <v>19358</v>
      </c>
      <c r="C17" s="87">
        <v>868520</v>
      </c>
      <c r="D17" s="91"/>
      <c r="E17" s="96" t="s">
        <v>13</v>
      </c>
      <c r="F17" s="96">
        <v>-294336.15360725636</v>
      </c>
      <c r="G17" s="96">
        <v>58765.025973539661</v>
      </c>
      <c r="H17" s="96">
        <v>-5.0086960523047868</v>
      </c>
      <c r="I17" s="96">
        <v>7.444523360017519E-3</v>
      </c>
      <c r="J17" s="96">
        <v>-457494.02232831175</v>
      </c>
      <c r="K17" s="96">
        <v>-131178.28488620097</v>
      </c>
      <c r="L17" s="96">
        <v>-457494.02232831175</v>
      </c>
      <c r="M17" s="96">
        <v>-131178.28488620097</v>
      </c>
    </row>
    <row r="18" spans="1:13" ht="14.25" thickBot="1">
      <c r="A18" s="107" t="s">
        <v>126</v>
      </c>
      <c r="B18" s="89">
        <v>19127</v>
      </c>
      <c r="C18" s="88">
        <v>848894</v>
      </c>
      <c r="D18" s="91"/>
      <c r="E18" s="106" t="s">
        <v>21</v>
      </c>
      <c r="F18" s="106">
        <v>59.937645028384424</v>
      </c>
      <c r="G18" s="106">
        <v>2.9883136563877533</v>
      </c>
      <c r="H18" s="106">
        <v>20.057347360529921</v>
      </c>
      <c r="I18" s="106">
        <v>3.6466528694630602E-5</v>
      </c>
      <c r="J18" s="106">
        <v>51.640756204310925</v>
      </c>
      <c r="K18" s="106">
        <v>68.234533852457929</v>
      </c>
      <c r="L18" s="106">
        <v>51.640756204310925</v>
      </c>
      <c r="M18" s="106">
        <v>68.234533852457929</v>
      </c>
    </row>
    <row r="19" spans="1:13">
      <c r="A19" s="132" t="s">
        <v>168</v>
      </c>
      <c r="B19" s="73"/>
      <c r="C19" s="83"/>
      <c r="D19" s="91"/>
      <c r="E19" s="96"/>
      <c r="F19" s="96"/>
      <c r="G19" s="96"/>
      <c r="H19" s="96"/>
      <c r="I19" s="96"/>
      <c r="J19" s="96"/>
      <c r="K19" s="96"/>
      <c r="L19" s="96"/>
      <c r="M19" s="96"/>
    </row>
    <row r="20" spans="1:13">
      <c r="A20" s="132" t="s">
        <v>169</v>
      </c>
      <c r="B20" s="73"/>
      <c r="C20" s="83"/>
      <c r="D20" s="91"/>
      <c r="E20" s="96"/>
      <c r="F20" s="96"/>
      <c r="G20" s="96"/>
      <c r="H20" s="96"/>
      <c r="I20" s="96"/>
      <c r="J20" s="96"/>
      <c r="K20" s="96"/>
      <c r="L20" s="96"/>
      <c r="M20" s="96"/>
    </row>
    <row r="21" spans="1:13">
      <c r="A21" s="108"/>
      <c r="B21" s="73"/>
      <c r="C21" s="83"/>
      <c r="D21" s="91"/>
      <c r="E21" s="96"/>
      <c r="F21" s="96"/>
      <c r="G21" s="96"/>
      <c r="H21" s="96"/>
      <c r="I21" s="96"/>
      <c r="J21" s="96"/>
      <c r="K21" s="96"/>
      <c r="L21" s="96"/>
      <c r="M21" s="96"/>
    </row>
    <row r="22" spans="1:13" ht="14.25" thickBot="1">
      <c r="A22" s="90"/>
      <c r="B22" s="73"/>
      <c r="C22" s="83"/>
      <c r="D22" s="91"/>
      <c r="E22" s="91"/>
      <c r="F22" s="90"/>
      <c r="G22" s="90"/>
      <c r="H22" s="90"/>
      <c r="I22" s="92"/>
      <c r="J22" s="92"/>
      <c r="K22" s="92"/>
      <c r="L22" s="92"/>
      <c r="M22" s="90"/>
    </row>
    <row r="23" spans="1:13" ht="13.5" customHeight="1">
      <c r="A23" s="200"/>
      <c r="B23" s="202" t="s">
        <v>163</v>
      </c>
      <c r="C23" s="202"/>
      <c r="D23" s="202"/>
      <c r="E23" s="203"/>
      <c r="F23" s="204" t="s">
        <v>165</v>
      </c>
      <c r="G23" s="205"/>
      <c r="H23" s="205"/>
      <c r="I23" s="206"/>
      <c r="J23" s="92"/>
      <c r="K23" s="92"/>
      <c r="L23" s="92"/>
      <c r="M23" s="90"/>
    </row>
    <row r="24" spans="1:13">
      <c r="A24" s="201"/>
      <c r="B24" s="136" t="s">
        <v>153</v>
      </c>
      <c r="C24" s="136" t="s">
        <v>154</v>
      </c>
      <c r="D24" s="136" t="s">
        <v>155</v>
      </c>
      <c r="E24" s="137" t="s">
        <v>156</v>
      </c>
      <c r="F24" s="112" t="s">
        <v>153</v>
      </c>
      <c r="G24" s="136" t="s">
        <v>154</v>
      </c>
      <c r="H24" s="136" t="s">
        <v>155</v>
      </c>
      <c r="I24" s="113" t="s">
        <v>156</v>
      </c>
      <c r="J24" s="92"/>
      <c r="K24" s="92"/>
      <c r="L24" s="92"/>
      <c r="M24" s="90"/>
    </row>
    <row r="25" spans="1:13">
      <c r="A25" s="94" t="s">
        <v>141</v>
      </c>
      <c r="B25" s="109">
        <v>3054.663</v>
      </c>
      <c r="C25" s="109">
        <v>2942.221</v>
      </c>
      <c r="D25" s="109">
        <v>13010.691999999999</v>
      </c>
      <c r="E25" s="111">
        <f>SUM(B25:D25)</f>
        <v>19007.576000000001</v>
      </c>
      <c r="F25" s="114">
        <f>I25*0.1421</f>
        <v>120065.00623232423</v>
      </c>
      <c r="G25" s="110">
        <f>I25*0.1541</f>
        <v>130204.20450669361</v>
      </c>
      <c r="H25" s="110">
        <f>I25*0.7038</f>
        <v>594663.97879176494</v>
      </c>
      <c r="I25" s="115">
        <f>F17+F18*E25</f>
        <v>844933.18953078275</v>
      </c>
      <c r="J25" s="92"/>
      <c r="K25" s="92"/>
      <c r="L25" s="92"/>
      <c r="M25" s="90"/>
    </row>
    <row r="26" spans="1:13">
      <c r="A26" s="94" t="s">
        <v>142</v>
      </c>
      <c r="B26" s="109">
        <v>3043.1800000000003</v>
      </c>
      <c r="C26" s="109">
        <v>2954.1530000000002</v>
      </c>
      <c r="D26" s="109">
        <v>12849.998000000001</v>
      </c>
      <c r="E26" s="111">
        <f t="shared" ref="E26:E36" si="0">SUM(B26:D26)</f>
        <v>18847.331000000002</v>
      </c>
      <c r="F26" s="114">
        <f t="shared" ref="F26:F36" si="1">I26*0.1421</f>
        <v>118700.17723581604</v>
      </c>
      <c r="G26" s="110">
        <f t="shared" ref="G26:G36" si="2">I26*0.1541</f>
        <v>128724.11901505454</v>
      </c>
      <c r="H26" s="110">
        <f t="shared" ref="H26:H36" si="3">I26*0.7038</f>
        <v>587904.18535233871</v>
      </c>
      <c r="I26" s="115">
        <f>F17+F18*E26</f>
        <v>835328.48160320928</v>
      </c>
      <c r="J26" s="92"/>
      <c r="K26" s="92"/>
      <c r="L26" s="92"/>
      <c r="M26" s="90"/>
    </row>
    <row r="27" spans="1:13">
      <c r="A27" s="94" t="s">
        <v>143</v>
      </c>
      <c r="B27" s="109">
        <v>3037.748</v>
      </c>
      <c r="C27" s="109">
        <v>2998.5209999999997</v>
      </c>
      <c r="D27" s="109">
        <v>12668.480000000001</v>
      </c>
      <c r="E27" s="111">
        <f t="shared" si="0"/>
        <v>18704.749000000003</v>
      </c>
      <c r="F27" s="114">
        <f t="shared" si="1"/>
        <v>117485.78647179766</v>
      </c>
      <c r="G27" s="110">
        <f t="shared" si="2"/>
        <v>127407.17589939492</v>
      </c>
      <c r="H27" s="110">
        <f t="shared" si="3"/>
        <v>581889.48992857977</v>
      </c>
      <c r="I27" s="115">
        <f>F17+F18*E27</f>
        <v>826782.45229977241</v>
      </c>
      <c r="J27" s="92"/>
      <c r="K27" s="92"/>
      <c r="L27" s="92"/>
      <c r="M27" s="90"/>
    </row>
    <row r="28" spans="1:13">
      <c r="A28" s="94" t="s">
        <v>144</v>
      </c>
      <c r="B28" s="109">
        <v>3037.9169999999999</v>
      </c>
      <c r="C28" s="109">
        <v>3051.598</v>
      </c>
      <c r="D28" s="109">
        <v>12506.520999999999</v>
      </c>
      <c r="E28" s="111">
        <f t="shared" si="0"/>
        <v>18596.036</v>
      </c>
      <c r="F28" s="114">
        <f t="shared" si="1"/>
        <v>116559.86270071339</v>
      </c>
      <c r="G28" s="110">
        <f t="shared" si="2"/>
        <v>126403.06011386299</v>
      </c>
      <c r="H28" s="110">
        <f t="shared" si="3"/>
        <v>577303.52828122501</v>
      </c>
      <c r="I28" s="115">
        <f>F17+F18*E28</f>
        <v>820266.45109580143</v>
      </c>
      <c r="J28" s="92"/>
      <c r="K28" s="92"/>
      <c r="L28" s="92"/>
      <c r="M28" s="90"/>
    </row>
    <row r="29" spans="1:13">
      <c r="A29" s="94" t="s">
        <v>145</v>
      </c>
      <c r="B29" s="109">
        <v>3037.212</v>
      </c>
      <c r="C29" s="109">
        <v>3040.1890000000003</v>
      </c>
      <c r="D29" s="109">
        <v>12426.444</v>
      </c>
      <c r="E29" s="111">
        <f t="shared" si="0"/>
        <v>18503.845000000001</v>
      </c>
      <c r="F29" s="114">
        <f t="shared" si="1"/>
        <v>115774.65910611083</v>
      </c>
      <c r="G29" s="110">
        <f t="shared" si="2"/>
        <v>125551.5479820667</v>
      </c>
      <c r="H29" s="110">
        <f t="shared" si="3"/>
        <v>573414.53257481207</v>
      </c>
      <c r="I29" s="115">
        <f>F17+F18*E29</f>
        <v>814740.73966298962</v>
      </c>
      <c r="J29" s="92"/>
      <c r="K29" s="92"/>
      <c r="L29" s="92"/>
      <c r="M29" s="90"/>
    </row>
    <row r="30" spans="1:13">
      <c r="A30" s="94" t="s">
        <v>146</v>
      </c>
      <c r="B30" s="109">
        <v>3029.0749999999998</v>
      </c>
      <c r="C30" s="109">
        <v>3034.8139999999999</v>
      </c>
      <c r="D30" s="109">
        <v>12379.508</v>
      </c>
      <c r="E30" s="111">
        <f t="shared" si="0"/>
        <v>18443.396999999997</v>
      </c>
      <c r="F30" s="114">
        <f t="shared" si="1"/>
        <v>115259.81506616616</v>
      </c>
      <c r="G30" s="110">
        <f t="shared" si="2"/>
        <v>124993.22661292192</v>
      </c>
      <c r="H30" s="110">
        <f t="shared" si="3"/>
        <v>570864.58721722546</v>
      </c>
      <c r="I30" s="115">
        <f>F17+F18*E30</f>
        <v>811117.6288963136</v>
      </c>
      <c r="J30" s="92"/>
      <c r="K30" s="92"/>
      <c r="L30" s="92"/>
      <c r="M30" s="90"/>
    </row>
    <row r="31" spans="1:13">
      <c r="A31" s="94" t="s">
        <v>147</v>
      </c>
      <c r="B31" s="109">
        <v>3012.605</v>
      </c>
      <c r="C31" s="109">
        <v>3035.029</v>
      </c>
      <c r="D31" s="109">
        <v>12329.115</v>
      </c>
      <c r="E31" s="111">
        <f t="shared" si="0"/>
        <v>18376.749</v>
      </c>
      <c r="F31" s="114">
        <f t="shared" si="1"/>
        <v>114692.16476219868</v>
      </c>
      <c r="G31" s="110">
        <f t="shared" si="2"/>
        <v>124377.6396189642</v>
      </c>
      <c r="H31" s="110">
        <f t="shared" si="3"/>
        <v>568053.10034929926</v>
      </c>
      <c r="I31" s="115">
        <f>F17+F18*E31</f>
        <v>807122.90473046212</v>
      </c>
      <c r="J31" s="92"/>
      <c r="K31" s="90"/>
      <c r="L31" s="90"/>
      <c r="M31" s="90"/>
    </row>
    <row r="32" spans="1:13">
      <c r="A32" s="94" t="s">
        <v>148</v>
      </c>
      <c r="B32" s="109">
        <v>2990.28</v>
      </c>
      <c r="C32" s="109">
        <v>3034.373</v>
      </c>
      <c r="D32" s="109">
        <v>12268.703</v>
      </c>
      <c r="E32" s="111">
        <f t="shared" si="0"/>
        <v>18293.356</v>
      </c>
      <c r="F32" s="114">
        <f t="shared" si="1"/>
        <v>113981.8949596725</v>
      </c>
      <c r="G32" s="110">
        <f t="shared" si="2"/>
        <v>123607.3892560558</v>
      </c>
      <c r="H32" s="110">
        <f t="shared" si="3"/>
        <v>564535.24048288178</v>
      </c>
      <c r="I32" s="115">
        <f>F17+F18*E32</f>
        <v>802124.52469861007</v>
      </c>
      <c r="J32" s="92"/>
      <c r="K32" s="90"/>
      <c r="L32" s="90"/>
      <c r="M32" s="90"/>
    </row>
    <row r="33" spans="1:13">
      <c r="A33" s="94" t="s">
        <v>149</v>
      </c>
      <c r="B33" s="109">
        <v>2965.0099999999998</v>
      </c>
      <c r="C33" s="109">
        <v>3026.3</v>
      </c>
      <c r="D33" s="109">
        <v>12201.657000000001</v>
      </c>
      <c r="E33" s="111">
        <f t="shared" si="0"/>
        <v>18192.967000000001</v>
      </c>
      <c r="F33" s="114">
        <f t="shared" si="1"/>
        <v>113126.86785660869</v>
      </c>
      <c r="G33" s="110">
        <f t="shared" si="2"/>
        <v>122680.15719003094</v>
      </c>
      <c r="H33" s="110">
        <f t="shared" si="3"/>
        <v>560300.419405216</v>
      </c>
      <c r="I33" s="115">
        <f>F17+F18*E33</f>
        <v>796107.44445185561</v>
      </c>
      <c r="J33" s="92"/>
      <c r="K33" s="90"/>
      <c r="L33" s="90"/>
      <c r="M33" s="90"/>
    </row>
    <row r="34" spans="1:13">
      <c r="A34" s="94" t="s">
        <v>150</v>
      </c>
      <c r="B34" s="109">
        <v>2938.7919999999999</v>
      </c>
      <c r="C34" s="109">
        <v>3009.9059999999999</v>
      </c>
      <c r="D34" s="109">
        <v>12155.522999999999</v>
      </c>
      <c r="E34" s="111">
        <f t="shared" si="0"/>
        <v>18104.220999999998</v>
      </c>
      <c r="F34" s="114">
        <f t="shared" si="1"/>
        <v>112371.00580709626</v>
      </c>
      <c r="G34" s="110">
        <f t="shared" si="2"/>
        <v>121860.46442557023</v>
      </c>
      <c r="H34" s="110">
        <f t="shared" si="3"/>
        <v>556556.74797349994</v>
      </c>
      <c r="I34" s="115">
        <f>F17+F18*E34</f>
        <v>790788.21820616641</v>
      </c>
      <c r="J34" s="92"/>
      <c r="K34" s="90"/>
      <c r="L34" s="90"/>
      <c r="M34" s="90"/>
    </row>
    <row r="35" spans="1:13">
      <c r="A35" s="94" t="s">
        <v>151</v>
      </c>
      <c r="B35" s="109">
        <v>2912.3940000000002</v>
      </c>
      <c r="C35" s="109">
        <v>2987.6639999999998</v>
      </c>
      <c r="D35" s="109">
        <v>12117.523000000001</v>
      </c>
      <c r="E35" s="111">
        <f t="shared" si="0"/>
        <v>18017.581000000002</v>
      </c>
      <c r="F35" s="114">
        <f t="shared" si="1"/>
        <v>111633.08085307294</v>
      </c>
      <c r="G35" s="110">
        <f t="shared" si="2"/>
        <v>121060.22350076382</v>
      </c>
      <c r="H35" s="110">
        <f t="shared" si="3"/>
        <v>552901.91628707061</v>
      </c>
      <c r="I35" s="115">
        <f>F17+F18*E35</f>
        <v>785595.22064090741</v>
      </c>
      <c r="J35" s="92"/>
      <c r="K35" s="90"/>
      <c r="L35" s="90"/>
      <c r="M35" s="90"/>
    </row>
    <row r="36" spans="1:13" ht="14.25" thickBot="1">
      <c r="A36" s="94" t="s">
        <v>152</v>
      </c>
      <c r="B36" s="109">
        <v>2885.7490000000003</v>
      </c>
      <c r="C36" s="109">
        <v>2962.4780000000001</v>
      </c>
      <c r="D36" s="109">
        <v>12077.081000000002</v>
      </c>
      <c r="E36" s="111">
        <f t="shared" si="0"/>
        <v>17925.308000000005</v>
      </c>
      <c r="F36" s="116">
        <f t="shared" si="1"/>
        <v>110847.17885304302</v>
      </c>
      <c r="G36" s="117">
        <f t="shared" si="2"/>
        <v>120207.95398489745</v>
      </c>
      <c r="H36" s="117">
        <f t="shared" si="3"/>
        <v>549009.46148326306</v>
      </c>
      <c r="I36" s="118">
        <f>F17+F18*E36</f>
        <v>780064.59432120353</v>
      </c>
      <c r="J36" s="92"/>
      <c r="K36" s="90"/>
      <c r="L36" s="90"/>
      <c r="M36" s="90"/>
    </row>
    <row r="37" spans="1:13" ht="13.5" customHeight="1">
      <c r="A37" s="78" t="s">
        <v>176</v>
      </c>
    </row>
    <row r="38" spans="1:13" ht="13.5" customHeight="1"/>
    <row r="39" spans="1:13" ht="13.5" customHeight="1"/>
    <row r="40" spans="1:13" ht="13.5" customHeight="1"/>
    <row r="41" spans="1:13" ht="13.5" customHeight="1"/>
    <row r="46" spans="1:13">
      <c r="M46" s="135" t="s">
        <v>49</v>
      </c>
    </row>
    <row r="47" spans="1:13">
      <c r="M47" s="8">
        <v>758</v>
      </c>
    </row>
    <row r="48" spans="1:13">
      <c r="M48" s="8">
        <v>1391</v>
      </c>
    </row>
    <row r="49" spans="13:13">
      <c r="M49" s="8">
        <v>1698</v>
      </c>
    </row>
    <row r="50" spans="13:13">
      <c r="M50" s="8">
        <v>1752</v>
      </c>
    </row>
    <row r="51" spans="13:13">
      <c r="M51" s="8">
        <v>1786</v>
      </c>
    </row>
    <row r="52" spans="13:13">
      <c r="M52" s="8">
        <v>2123</v>
      </c>
    </row>
  </sheetData>
  <mergeCells count="8">
    <mergeCell ref="A23:A24"/>
    <mergeCell ref="B23:E23"/>
    <mergeCell ref="F23:I23"/>
    <mergeCell ref="A1:M1"/>
    <mergeCell ref="A3:M3"/>
    <mergeCell ref="A6:A8"/>
    <mergeCell ref="B6:B8"/>
    <mergeCell ref="C6:C8"/>
  </mergeCells>
  <phoneticPr fontId="2"/>
  <printOptions horizontalCentered="1" verticalCentered="1"/>
  <pageMargins left="0.70866141732283472" right="0.51181102362204722" top="0.74803149606299213" bottom="0.74803149606299213" header="0.31496062992125984" footer="0.31496062992125984"/>
  <pageSetup paperSize="8" scale="140" orientation="landscape" r:id="rId1"/>
  <headerFooter>
    <oddHeader xml:space="preserve">&amp;R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Normal="100" zoomScaleSheetLayoutView="100" workbookViewId="0">
      <selection activeCell="K43" sqref="K43"/>
    </sheetView>
  </sheetViews>
  <sheetFormatPr defaultRowHeight="13.5"/>
  <cols>
    <col min="1" max="1" width="5.875" style="8" customWidth="1"/>
    <col min="2" max="3" width="14.875" style="8" customWidth="1"/>
    <col min="4" max="5" width="10.125" style="8" customWidth="1"/>
    <col min="6" max="6" width="12.625" style="8" customWidth="1"/>
    <col min="7" max="12" width="10.125" style="8" customWidth="1"/>
    <col min="13" max="15" width="12.125" style="8" bestFit="1" customWidth="1"/>
    <col min="16" max="16384" width="9" style="8"/>
  </cols>
  <sheetData>
    <row r="1" spans="1:13" ht="17.25">
      <c r="A1" s="207" t="s">
        <v>186</v>
      </c>
      <c r="B1" s="207"/>
      <c r="C1" s="207"/>
      <c r="D1" s="207"/>
      <c r="E1" s="207"/>
      <c r="F1" s="207"/>
      <c r="G1" s="207"/>
      <c r="H1" s="207"/>
      <c r="I1" s="207"/>
      <c r="J1" s="207"/>
      <c r="K1" s="207"/>
      <c r="L1" s="207"/>
      <c r="M1" s="207"/>
    </row>
    <row r="3" spans="1:13" ht="74.25" customHeight="1">
      <c r="A3" s="208" t="s">
        <v>180</v>
      </c>
      <c r="B3" s="209"/>
      <c r="C3" s="209"/>
      <c r="D3" s="209"/>
      <c r="E3" s="209"/>
      <c r="F3" s="209"/>
      <c r="G3" s="209"/>
      <c r="H3" s="209"/>
      <c r="I3" s="209"/>
      <c r="J3" s="209"/>
      <c r="K3" s="209"/>
      <c r="L3" s="209"/>
      <c r="M3" s="210"/>
    </row>
    <row r="4" spans="1:13">
      <c r="A4" s="90"/>
      <c r="B4" s="90"/>
      <c r="C4" s="90"/>
      <c r="D4" s="90"/>
      <c r="E4" s="90"/>
      <c r="F4" s="90"/>
      <c r="G4" s="90"/>
      <c r="H4" s="90"/>
      <c r="I4" s="90"/>
      <c r="J4" s="90"/>
      <c r="K4" s="90"/>
      <c r="L4" s="90"/>
      <c r="M4" s="90"/>
    </row>
    <row r="5" spans="1:13" ht="13.5" customHeight="1">
      <c r="A5" s="200"/>
      <c r="B5" s="202" t="s">
        <v>140</v>
      </c>
      <c r="C5" s="202" t="s">
        <v>178</v>
      </c>
      <c r="D5" s="91"/>
      <c r="E5" s="138"/>
      <c r="F5" s="138"/>
      <c r="G5" s="138"/>
      <c r="H5" s="138"/>
      <c r="I5" s="138"/>
      <c r="J5" s="138"/>
      <c r="K5" s="138"/>
      <c r="L5" s="138"/>
      <c r="M5" s="138"/>
    </row>
    <row r="6" spans="1:13" ht="13.5" customHeight="1">
      <c r="A6" s="211"/>
      <c r="B6" s="202"/>
      <c r="C6" s="202"/>
      <c r="D6" s="91"/>
      <c r="E6" s="140"/>
      <c r="F6" s="140"/>
      <c r="G6" s="140"/>
      <c r="H6" s="140"/>
      <c r="I6" s="140"/>
      <c r="J6" s="140"/>
      <c r="K6" s="140"/>
      <c r="L6" s="140"/>
      <c r="M6" s="140"/>
    </row>
    <row r="7" spans="1:13" ht="13.5" customHeight="1" thickBot="1">
      <c r="A7" s="201"/>
      <c r="B7" s="200"/>
      <c r="C7" s="200"/>
      <c r="D7" s="91"/>
      <c r="E7" s="140"/>
      <c r="F7" s="140"/>
      <c r="G7" s="140"/>
      <c r="H7" s="140"/>
      <c r="I7" s="140"/>
      <c r="J7" s="140"/>
      <c r="K7" s="140"/>
      <c r="L7" s="140"/>
      <c r="M7" s="140"/>
    </row>
    <row r="8" spans="1:13" ht="13.5" customHeight="1">
      <c r="A8" s="139" t="s">
        <v>179</v>
      </c>
      <c r="B8" s="143">
        <v>1009028</v>
      </c>
      <c r="C8" s="144">
        <v>1710</v>
      </c>
      <c r="D8" s="91"/>
      <c r="E8" s="138"/>
      <c r="F8" s="138"/>
      <c r="G8" s="138"/>
      <c r="H8" s="138"/>
      <c r="I8" s="138"/>
      <c r="J8" s="138"/>
      <c r="K8" s="138"/>
      <c r="L8" s="138"/>
      <c r="M8" s="138"/>
    </row>
    <row r="9" spans="1:13" ht="13.5" customHeight="1">
      <c r="A9" s="139" t="s">
        <v>109</v>
      </c>
      <c r="B9" s="145">
        <v>1001940</v>
      </c>
      <c r="C9" s="146">
        <v>1699</v>
      </c>
      <c r="D9" s="91"/>
      <c r="E9" s="140"/>
      <c r="F9" s="140"/>
      <c r="G9" s="140"/>
      <c r="H9" s="140"/>
      <c r="I9" s="140"/>
      <c r="J9" s="140"/>
      <c r="K9" s="140"/>
      <c r="L9" s="140"/>
      <c r="M9" s="140"/>
    </row>
    <row r="10" spans="1:13" ht="13.5" customHeight="1">
      <c r="A10" s="139" t="s">
        <v>110</v>
      </c>
      <c r="B10" s="145">
        <v>995812</v>
      </c>
      <c r="C10" s="146">
        <v>1721</v>
      </c>
      <c r="D10" s="91"/>
      <c r="E10" s="140"/>
      <c r="F10" s="140"/>
      <c r="G10" s="140"/>
      <c r="H10" s="140"/>
      <c r="I10" s="140"/>
      <c r="J10" s="140"/>
      <c r="K10" s="140"/>
      <c r="L10" s="140"/>
      <c r="M10" s="140"/>
    </row>
    <row r="11" spans="1:13" ht="13.5" customHeight="1">
      <c r="A11" s="139" t="s">
        <v>111</v>
      </c>
      <c r="B11" s="145">
        <v>981041</v>
      </c>
      <c r="C11" s="146">
        <v>1728</v>
      </c>
      <c r="D11" s="91"/>
      <c r="E11" s="140"/>
      <c r="F11" s="140"/>
      <c r="G11" s="140"/>
      <c r="H11" s="140"/>
      <c r="I11" s="140"/>
      <c r="J11" s="140"/>
      <c r="K11" s="140"/>
      <c r="L11" s="140"/>
      <c r="M11" s="140"/>
    </row>
    <row r="12" spans="1:13" ht="13.5" customHeight="1">
      <c r="A12" s="139" t="s">
        <v>112</v>
      </c>
      <c r="B12" s="147">
        <v>971475</v>
      </c>
      <c r="C12" s="148">
        <v>1666</v>
      </c>
      <c r="D12" s="91"/>
      <c r="E12" s="138"/>
      <c r="F12" s="138"/>
      <c r="G12" s="138"/>
      <c r="H12" s="138"/>
      <c r="I12" s="138"/>
      <c r="J12" s="138"/>
      <c r="K12" s="138"/>
      <c r="L12" s="138"/>
      <c r="M12" s="138"/>
    </row>
    <row r="13" spans="1:13" ht="13.5" customHeight="1">
      <c r="A13" s="139" t="s">
        <v>113</v>
      </c>
      <c r="B13" s="147">
        <v>965976</v>
      </c>
      <c r="C13" s="148">
        <v>1773</v>
      </c>
      <c r="D13" s="91"/>
      <c r="E13" s="140"/>
      <c r="F13" s="140"/>
      <c r="G13" s="140"/>
      <c r="H13" s="140"/>
      <c r="I13" s="140"/>
      <c r="J13" s="140"/>
      <c r="K13" s="140"/>
      <c r="L13" s="140"/>
      <c r="M13" s="140"/>
    </row>
    <row r="14" spans="1:13" ht="13.5" customHeight="1">
      <c r="A14" s="139" t="s">
        <v>114</v>
      </c>
      <c r="B14" s="147">
        <v>964733</v>
      </c>
      <c r="C14" s="148">
        <v>1827</v>
      </c>
      <c r="D14" s="91"/>
      <c r="E14" s="140"/>
      <c r="F14" s="140"/>
      <c r="G14" s="140"/>
      <c r="H14" s="140"/>
      <c r="I14" s="140"/>
      <c r="J14" s="140"/>
      <c r="K14" s="140"/>
      <c r="L14" s="140"/>
      <c r="M14" s="140"/>
    </row>
    <row r="15" spans="1:13" ht="13.5" customHeight="1">
      <c r="A15" s="139" t="s">
        <v>115</v>
      </c>
      <c r="B15" s="147">
        <v>951363</v>
      </c>
      <c r="C15" s="148">
        <v>1815</v>
      </c>
      <c r="D15" s="91"/>
      <c r="E15" s="93" t="s">
        <v>181</v>
      </c>
      <c r="F15" s="91"/>
      <c r="G15" s="91"/>
      <c r="H15" s="91"/>
      <c r="I15" s="97"/>
      <c r="J15" s="97"/>
      <c r="K15" s="97"/>
      <c r="L15" s="97"/>
      <c r="M15" s="91"/>
    </row>
    <row r="16" spans="1:13" ht="13.5" customHeight="1" thickBot="1">
      <c r="A16" s="139" t="s">
        <v>116</v>
      </c>
      <c r="B16" s="147">
        <v>936732</v>
      </c>
      <c r="C16" s="148">
        <v>1796</v>
      </c>
      <c r="D16" s="91"/>
      <c r="E16" s="138"/>
      <c r="F16" s="138"/>
      <c r="G16" s="138"/>
      <c r="H16" s="138"/>
      <c r="I16" s="138"/>
      <c r="J16" s="138"/>
      <c r="K16" s="138"/>
      <c r="L16" s="138"/>
      <c r="M16" s="138"/>
    </row>
    <row r="17" spans="1:13">
      <c r="A17" s="139" t="s">
        <v>117</v>
      </c>
      <c r="B17" s="149">
        <v>931621</v>
      </c>
      <c r="C17" s="150">
        <v>1846</v>
      </c>
      <c r="D17" s="91"/>
      <c r="E17" s="85" t="s">
        <v>157</v>
      </c>
      <c r="F17" s="85"/>
      <c r="G17" s="140"/>
      <c r="H17" s="140"/>
      <c r="I17" s="140"/>
      <c r="J17" s="140"/>
      <c r="K17" s="140"/>
      <c r="L17" s="140"/>
      <c r="M17" s="140"/>
    </row>
    <row r="18" spans="1:13">
      <c r="A18" s="139" t="s">
        <v>118</v>
      </c>
      <c r="B18" s="149">
        <v>930452</v>
      </c>
      <c r="C18" s="150">
        <v>1797</v>
      </c>
      <c r="D18" s="91"/>
      <c r="E18" s="140" t="s">
        <v>158</v>
      </c>
      <c r="F18" s="140">
        <v>0.39811312967558177</v>
      </c>
      <c r="G18" s="140"/>
      <c r="H18" s="140"/>
      <c r="I18" s="140"/>
      <c r="J18" s="140"/>
      <c r="K18" s="140"/>
      <c r="L18" s="140"/>
      <c r="M18" s="140"/>
    </row>
    <row r="19" spans="1:13" ht="13.5" customHeight="1">
      <c r="A19" s="139" t="s">
        <v>119</v>
      </c>
      <c r="B19" s="149">
        <v>926388</v>
      </c>
      <c r="C19" s="150">
        <v>1751</v>
      </c>
      <c r="D19" s="91"/>
      <c r="E19" s="140" t="s">
        <v>159</v>
      </c>
      <c r="F19" s="140">
        <v>0.15849406402008659</v>
      </c>
      <c r="G19" s="91"/>
      <c r="H19" s="91"/>
      <c r="I19" s="91"/>
      <c r="J19" s="91"/>
      <c r="K19" s="91"/>
      <c r="L19" s="91"/>
      <c r="M19" s="91"/>
    </row>
    <row r="20" spans="1:13">
      <c r="A20" s="142" t="s">
        <v>120</v>
      </c>
      <c r="B20" s="151">
        <v>915610</v>
      </c>
      <c r="C20" s="150">
        <v>1645</v>
      </c>
      <c r="D20" s="91"/>
      <c r="E20" s="140" t="s">
        <v>160</v>
      </c>
      <c r="F20" s="140">
        <v>0.10899371484479758</v>
      </c>
      <c r="G20" s="138"/>
      <c r="H20" s="138"/>
      <c r="I20" s="138"/>
      <c r="J20" s="138"/>
      <c r="K20" s="138"/>
      <c r="L20" s="138"/>
      <c r="M20" s="138"/>
    </row>
    <row r="21" spans="1:13">
      <c r="A21" s="139" t="s">
        <v>121</v>
      </c>
      <c r="B21" s="152">
        <v>912470</v>
      </c>
      <c r="C21" s="150">
        <v>1726</v>
      </c>
      <c r="D21" s="91"/>
      <c r="E21" s="140" t="s">
        <v>12</v>
      </c>
      <c r="F21" s="140">
        <v>65.157254313085687</v>
      </c>
      <c r="G21" s="140"/>
      <c r="H21" s="140"/>
      <c r="I21" s="140"/>
      <c r="J21" s="140"/>
      <c r="K21" s="140"/>
      <c r="L21" s="140"/>
      <c r="M21" s="140"/>
    </row>
    <row r="22" spans="1:13" ht="14.25" thickBot="1">
      <c r="A22" s="139" t="s">
        <v>122</v>
      </c>
      <c r="B22" s="153">
        <v>901649</v>
      </c>
      <c r="C22" s="148">
        <v>1698</v>
      </c>
      <c r="D22" s="91"/>
      <c r="E22" s="141" t="s">
        <v>161</v>
      </c>
      <c r="F22" s="141">
        <v>19</v>
      </c>
      <c r="G22" s="140"/>
      <c r="H22" s="140"/>
      <c r="I22" s="140"/>
      <c r="J22" s="140"/>
      <c r="K22" s="140"/>
      <c r="L22" s="140"/>
      <c r="M22" s="140"/>
    </row>
    <row r="23" spans="1:13" ht="14.25" customHeight="1" thickBot="1">
      <c r="A23" s="139" t="s">
        <v>123</v>
      </c>
      <c r="B23" s="154">
        <v>891984</v>
      </c>
      <c r="C23" s="87">
        <v>1650</v>
      </c>
      <c r="D23" s="91"/>
      <c r="E23" s="91"/>
      <c r="F23" s="91"/>
      <c r="G23" s="91"/>
      <c r="H23" s="91"/>
      <c r="I23" s="91"/>
      <c r="J23" s="91"/>
      <c r="K23" s="91"/>
      <c r="L23" s="91"/>
      <c r="M23" s="91"/>
    </row>
    <row r="24" spans="1:13">
      <c r="A24" s="139" t="s">
        <v>124</v>
      </c>
      <c r="B24" s="154">
        <v>881370</v>
      </c>
      <c r="C24" s="87">
        <v>1626</v>
      </c>
      <c r="D24" s="91"/>
      <c r="E24" s="84"/>
      <c r="F24" s="84" t="s">
        <v>14</v>
      </c>
      <c r="G24" s="84" t="s">
        <v>12</v>
      </c>
      <c r="H24" s="84" t="s">
        <v>15</v>
      </c>
      <c r="I24" s="84" t="s">
        <v>16</v>
      </c>
      <c r="J24" s="84" t="s">
        <v>17</v>
      </c>
      <c r="K24" s="84" t="s">
        <v>18</v>
      </c>
      <c r="L24" s="84" t="s">
        <v>19</v>
      </c>
      <c r="M24" s="84" t="s">
        <v>20</v>
      </c>
    </row>
    <row r="25" spans="1:13">
      <c r="A25" s="139" t="s">
        <v>125</v>
      </c>
      <c r="B25" s="154">
        <v>868520</v>
      </c>
      <c r="C25" s="87">
        <v>1635</v>
      </c>
      <c r="D25" s="91"/>
      <c r="E25" s="140" t="s">
        <v>13</v>
      </c>
      <c r="F25" s="140">
        <v>1163.6846698127329</v>
      </c>
      <c r="G25" s="140">
        <v>313.84307989849742</v>
      </c>
      <c r="H25" s="140">
        <v>3.7078551172423166</v>
      </c>
      <c r="I25" s="140">
        <v>1.7477673321172175E-3</v>
      </c>
      <c r="J25" s="140">
        <v>501.53365084769666</v>
      </c>
      <c r="K25" s="140">
        <v>1825.8356887777691</v>
      </c>
      <c r="L25" s="140">
        <v>501.53365084769666</v>
      </c>
      <c r="M25" s="140">
        <v>1825.8356887777691</v>
      </c>
    </row>
    <row r="26" spans="1:13" ht="14.25" thickBot="1">
      <c r="A26" s="139" t="s">
        <v>126</v>
      </c>
      <c r="B26" s="155">
        <v>848894</v>
      </c>
      <c r="C26" s="88">
        <v>1659</v>
      </c>
      <c r="D26" s="91"/>
      <c r="E26" s="141" t="s">
        <v>21</v>
      </c>
      <c r="F26" s="141">
        <v>5.9919921965499159E-4</v>
      </c>
      <c r="G26" s="141">
        <v>3.3486431531538598E-4</v>
      </c>
      <c r="H26" s="141">
        <v>1.7893791373101267</v>
      </c>
      <c r="I26" s="141">
        <v>9.1384235681588502E-2</v>
      </c>
      <c r="J26" s="141">
        <v>-1.0730272925789754E-4</v>
      </c>
      <c r="K26" s="141">
        <v>1.3057011685678808E-3</v>
      </c>
      <c r="L26" s="141">
        <v>-1.0730272925789754E-4</v>
      </c>
      <c r="M26" s="141">
        <v>1.3057011685678808E-3</v>
      </c>
    </row>
    <row r="27" spans="1:13" ht="29.25" customHeight="1" thickBot="1">
      <c r="A27" s="132"/>
      <c r="B27" s="73"/>
      <c r="C27" s="83"/>
      <c r="D27" s="91"/>
      <c r="E27" s="96"/>
      <c r="F27" s="96"/>
      <c r="G27" s="96"/>
      <c r="H27" s="96"/>
      <c r="I27" s="96"/>
      <c r="J27" s="96"/>
      <c r="K27" s="96"/>
      <c r="L27" s="96"/>
      <c r="M27" s="96"/>
    </row>
    <row r="28" spans="1:13" ht="13.5" customHeight="1">
      <c r="A28" s="212"/>
      <c r="B28" s="202" t="s">
        <v>165</v>
      </c>
      <c r="C28" s="202"/>
      <c r="D28" s="202"/>
      <c r="E28" s="203"/>
      <c r="F28" s="214" t="s">
        <v>177</v>
      </c>
      <c r="G28" s="215"/>
      <c r="H28" s="215"/>
      <c r="I28" s="216"/>
      <c r="J28" s="92"/>
      <c r="K28" s="92"/>
      <c r="L28" s="92"/>
      <c r="M28" s="90"/>
    </row>
    <row r="29" spans="1:13">
      <c r="A29" s="213"/>
      <c r="B29" s="136" t="s">
        <v>153</v>
      </c>
      <c r="C29" s="136" t="s">
        <v>154</v>
      </c>
      <c r="D29" s="136" t="s">
        <v>155</v>
      </c>
      <c r="E29" s="137" t="s">
        <v>156</v>
      </c>
      <c r="F29" s="112" t="s">
        <v>153</v>
      </c>
      <c r="G29" s="136" t="s">
        <v>154</v>
      </c>
      <c r="H29" s="136" t="s">
        <v>155</v>
      </c>
      <c r="I29" s="113" t="s">
        <v>182</v>
      </c>
      <c r="J29" s="92"/>
      <c r="K29" s="92"/>
      <c r="L29" s="92"/>
      <c r="M29" s="90"/>
    </row>
    <row r="30" spans="1:13">
      <c r="A30" s="139" t="s">
        <v>141</v>
      </c>
      <c r="B30" s="109">
        <v>120065.00623232423</v>
      </c>
      <c r="C30" s="109">
        <v>130204.20450669361</v>
      </c>
      <c r="D30" s="109">
        <v>594663.97879176494</v>
      </c>
      <c r="E30" s="111">
        <f>SUM(B30:D30)</f>
        <v>844933.18953078275</v>
      </c>
      <c r="F30" s="114">
        <f>I30*0.1</f>
        <v>166.99679776401811</v>
      </c>
      <c r="G30" s="110">
        <f>I30*0.12</f>
        <v>200.39615731682173</v>
      </c>
      <c r="H30" s="110">
        <f>I30*0.78</f>
        <v>1302.5750225593413</v>
      </c>
      <c r="I30" s="115">
        <f>F25+F26*E30</f>
        <v>1669.9679776401811</v>
      </c>
      <c r="J30" s="92"/>
      <c r="K30" s="92"/>
      <c r="L30" s="92"/>
      <c r="M30" s="90"/>
    </row>
    <row r="31" spans="1:13">
      <c r="A31" s="139" t="s">
        <v>142</v>
      </c>
      <c r="B31" s="109">
        <v>118700.17723581604</v>
      </c>
      <c r="C31" s="109">
        <v>128724.11901505454</v>
      </c>
      <c r="D31" s="109">
        <v>587904.18535233871</v>
      </c>
      <c r="E31" s="111">
        <f t="shared" ref="E31:E41" si="0">SUM(B31:D31)</f>
        <v>835328.48160320928</v>
      </c>
      <c r="F31" s="114">
        <f t="shared" ref="F31:F41" si="1">I31*0.1</f>
        <v>166.42128441449651</v>
      </c>
      <c r="G31" s="110">
        <f t="shared" ref="G31:G41" si="2">I31*0.12</f>
        <v>199.7055412973958</v>
      </c>
      <c r="H31" s="110">
        <f t="shared" ref="H31:H41" si="3">I31*0.78</f>
        <v>1298.0860184330727</v>
      </c>
      <c r="I31" s="115">
        <f>F25+F26*E31</f>
        <v>1664.2128441449649</v>
      </c>
      <c r="J31" s="92"/>
      <c r="K31" s="92"/>
      <c r="L31" s="92"/>
      <c r="M31" s="90"/>
    </row>
    <row r="32" spans="1:13">
      <c r="A32" s="139" t="s">
        <v>143</v>
      </c>
      <c r="B32" s="109">
        <v>117485.78647179766</v>
      </c>
      <c r="C32" s="109">
        <v>127407.17589939492</v>
      </c>
      <c r="D32" s="109">
        <v>581889.48992857977</v>
      </c>
      <c r="E32" s="111">
        <f t="shared" si="0"/>
        <v>826782.4522997723</v>
      </c>
      <c r="F32" s="114">
        <f t="shared" si="1"/>
        <v>165.90920700551968</v>
      </c>
      <c r="G32" s="110">
        <f t="shared" si="2"/>
        <v>199.0910484066236</v>
      </c>
      <c r="H32" s="110">
        <f t="shared" si="3"/>
        <v>1294.0918146430536</v>
      </c>
      <c r="I32" s="115">
        <f>F25+F26*E32</f>
        <v>1659.0920700551967</v>
      </c>
      <c r="J32" s="92"/>
      <c r="K32" s="92"/>
      <c r="L32" s="92"/>
      <c r="M32" s="90"/>
    </row>
    <row r="33" spans="1:13">
      <c r="A33" s="139" t="s">
        <v>144</v>
      </c>
      <c r="B33" s="109">
        <v>116559.86270071339</v>
      </c>
      <c r="C33" s="109">
        <v>126403.06011386299</v>
      </c>
      <c r="D33" s="109">
        <v>577303.52828122501</v>
      </c>
      <c r="E33" s="111">
        <f t="shared" si="0"/>
        <v>820266.45109580131</v>
      </c>
      <c r="F33" s="114">
        <f t="shared" si="1"/>
        <v>165.51876872185062</v>
      </c>
      <c r="G33" s="110">
        <f t="shared" si="2"/>
        <v>198.62252246622074</v>
      </c>
      <c r="H33" s="110">
        <f t="shared" si="3"/>
        <v>1291.0463960304348</v>
      </c>
      <c r="I33" s="115">
        <f>F25+F26*E33</f>
        <v>1655.1876872185062</v>
      </c>
      <c r="J33" s="92"/>
      <c r="K33" s="92"/>
      <c r="L33" s="92"/>
      <c r="M33" s="90"/>
    </row>
    <row r="34" spans="1:13">
      <c r="A34" s="139" t="s">
        <v>145</v>
      </c>
      <c r="B34" s="109">
        <v>115774.65910611083</v>
      </c>
      <c r="C34" s="109">
        <v>125551.5479820667</v>
      </c>
      <c r="D34" s="109">
        <v>573414.53257481207</v>
      </c>
      <c r="E34" s="111">
        <f t="shared" si="0"/>
        <v>814740.73966298962</v>
      </c>
      <c r="F34" s="114">
        <f t="shared" si="1"/>
        <v>165.1876685239927</v>
      </c>
      <c r="G34" s="110">
        <f t="shared" si="2"/>
        <v>198.22520222879123</v>
      </c>
      <c r="H34" s="110">
        <f t="shared" si="3"/>
        <v>1288.4638144871431</v>
      </c>
      <c r="I34" s="115">
        <f>F25+F26*E34</f>
        <v>1651.8766852399269</v>
      </c>
      <c r="J34" s="92"/>
      <c r="K34" s="92"/>
      <c r="L34" s="92"/>
      <c r="M34" s="90"/>
    </row>
    <row r="35" spans="1:13">
      <c r="A35" s="139" t="s">
        <v>146</v>
      </c>
      <c r="B35" s="109">
        <v>115259.81506616616</v>
      </c>
      <c r="C35" s="109">
        <v>124993.22661292192</v>
      </c>
      <c r="D35" s="109">
        <v>570864.58721722546</v>
      </c>
      <c r="E35" s="111">
        <f t="shared" si="0"/>
        <v>811117.62889631349</v>
      </c>
      <c r="F35" s="114">
        <f t="shared" si="1"/>
        <v>164.97057200958113</v>
      </c>
      <c r="G35" s="110">
        <f t="shared" si="2"/>
        <v>197.96468641149733</v>
      </c>
      <c r="H35" s="110">
        <f t="shared" si="3"/>
        <v>1286.7704616747328</v>
      </c>
      <c r="I35" s="115">
        <f>F25+F26*E35</f>
        <v>1649.7057200958111</v>
      </c>
      <c r="J35" s="92"/>
      <c r="K35" s="92"/>
      <c r="L35" s="92"/>
      <c r="M35" s="90"/>
    </row>
    <row r="36" spans="1:13">
      <c r="A36" s="139" t="s">
        <v>147</v>
      </c>
      <c r="B36" s="109">
        <v>114692.16476219868</v>
      </c>
      <c r="C36" s="109">
        <v>124377.6396189642</v>
      </c>
      <c r="D36" s="109">
        <v>568053.10034929926</v>
      </c>
      <c r="E36" s="111">
        <f t="shared" si="0"/>
        <v>807122.90473046212</v>
      </c>
      <c r="F36" s="114">
        <f t="shared" si="1"/>
        <v>164.7312084492896</v>
      </c>
      <c r="G36" s="110">
        <f t="shared" si="2"/>
        <v>197.67745013914748</v>
      </c>
      <c r="H36" s="110">
        <f t="shared" si="3"/>
        <v>1284.9034259044588</v>
      </c>
      <c r="I36" s="115">
        <f>F25+F26*E36</f>
        <v>1647.3120844928958</v>
      </c>
      <c r="J36" s="92"/>
      <c r="K36" s="90"/>
      <c r="L36" s="90"/>
      <c r="M36" s="90"/>
    </row>
    <row r="37" spans="1:13">
      <c r="A37" s="139" t="s">
        <v>148</v>
      </c>
      <c r="B37" s="109">
        <v>113981.8949596725</v>
      </c>
      <c r="C37" s="109">
        <v>123607.3892560558</v>
      </c>
      <c r="D37" s="109">
        <v>564535.24048288178</v>
      </c>
      <c r="E37" s="111">
        <f t="shared" si="0"/>
        <v>802124.52469861007</v>
      </c>
      <c r="F37" s="114">
        <f t="shared" si="1"/>
        <v>164.43170590782711</v>
      </c>
      <c r="G37" s="110">
        <f t="shared" si="2"/>
        <v>197.31804708939254</v>
      </c>
      <c r="H37" s="110">
        <f t="shared" si="3"/>
        <v>1282.5673060810516</v>
      </c>
      <c r="I37" s="115">
        <f>F25+F26*E37</f>
        <v>1644.3170590782711</v>
      </c>
      <c r="J37" s="92"/>
      <c r="K37" s="90"/>
      <c r="L37" s="90"/>
      <c r="M37" s="90"/>
    </row>
    <row r="38" spans="1:13">
      <c r="A38" s="139" t="s">
        <v>149</v>
      </c>
      <c r="B38" s="109">
        <v>113126.86785660869</v>
      </c>
      <c r="C38" s="109">
        <v>122680.15719003094</v>
      </c>
      <c r="D38" s="109">
        <v>560300.419405216</v>
      </c>
      <c r="E38" s="111">
        <f t="shared" si="0"/>
        <v>796107.44445185561</v>
      </c>
      <c r="F38" s="114">
        <f t="shared" si="1"/>
        <v>164.07116292898144</v>
      </c>
      <c r="G38" s="110">
        <f t="shared" si="2"/>
        <v>196.88539551477771</v>
      </c>
      <c r="H38" s="110">
        <f t="shared" si="3"/>
        <v>1279.7550708460551</v>
      </c>
      <c r="I38" s="115">
        <f>F25+F26*E38</f>
        <v>1640.7116292898143</v>
      </c>
      <c r="J38" s="92"/>
      <c r="K38" s="90"/>
      <c r="L38" s="90"/>
      <c r="M38" s="90"/>
    </row>
    <row r="39" spans="1:13">
      <c r="A39" s="139" t="s">
        <v>150</v>
      </c>
      <c r="B39" s="109">
        <v>112371.00580709626</v>
      </c>
      <c r="C39" s="109">
        <v>121860.46442557023</v>
      </c>
      <c r="D39" s="109">
        <v>556556.74797349994</v>
      </c>
      <c r="E39" s="111">
        <f t="shared" si="0"/>
        <v>790788.21820616641</v>
      </c>
      <c r="F39" s="114">
        <f t="shared" si="1"/>
        <v>163.75243530742293</v>
      </c>
      <c r="G39" s="110">
        <f t="shared" si="2"/>
        <v>196.50292236890749</v>
      </c>
      <c r="H39" s="110">
        <f t="shared" si="3"/>
        <v>1277.2689953978988</v>
      </c>
      <c r="I39" s="115">
        <f>F25+F26*E39</f>
        <v>1637.5243530742291</v>
      </c>
      <c r="J39" s="92"/>
      <c r="K39" s="90"/>
      <c r="L39" s="90"/>
      <c r="M39" s="90"/>
    </row>
    <row r="40" spans="1:13">
      <c r="A40" s="139" t="s">
        <v>151</v>
      </c>
      <c r="B40" s="109">
        <v>111633.08085307294</v>
      </c>
      <c r="C40" s="109">
        <v>121060.22350076382</v>
      </c>
      <c r="D40" s="109">
        <v>552901.91628707061</v>
      </c>
      <c r="E40" s="111">
        <f t="shared" si="0"/>
        <v>785595.2206409073</v>
      </c>
      <c r="F40" s="114">
        <f t="shared" si="1"/>
        <v>163.44127129854556</v>
      </c>
      <c r="G40" s="110">
        <f t="shared" si="2"/>
        <v>196.12952555825467</v>
      </c>
      <c r="H40" s="110">
        <f t="shared" si="3"/>
        <v>1274.8419161286554</v>
      </c>
      <c r="I40" s="115">
        <f>F25+F26*E40</f>
        <v>1634.4127129854555</v>
      </c>
      <c r="J40" s="92"/>
      <c r="K40" s="90"/>
      <c r="L40" s="90"/>
      <c r="M40" s="90"/>
    </row>
    <row r="41" spans="1:13" ht="14.25" thickBot="1">
      <c r="A41" s="139" t="s">
        <v>152</v>
      </c>
      <c r="B41" s="109">
        <v>110847.17885304302</v>
      </c>
      <c r="C41" s="109">
        <v>120207.95398489745</v>
      </c>
      <c r="D41" s="109">
        <v>549009.46148326306</v>
      </c>
      <c r="E41" s="111">
        <f t="shared" si="0"/>
        <v>780064.59432120353</v>
      </c>
      <c r="F41" s="114">
        <f t="shared" si="1"/>
        <v>163.10987660104857</v>
      </c>
      <c r="G41" s="110">
        <f t="shared" si="2"/>
        <v>195.73185192125828</v>
      </c>
      <c r="H41" s="110">
        <f t="shared" si="3"/>
        <v>1272.2570374881789</v>
      </c>
      <c r="I41" s="118">
        <f>F25+F26*E41</f>
        <v>1631.0987660104856</v>
      </c>
      <c r="J41" s="92"/>
      <c r="K41" s="90"/>
      <c r="L41" s="90"/>
      <c r="M41" s="90"/>
    </row>
    <row r="42" spans="1:13">
      <c r="A42" s="132"/>
      <c r="B42" s="73"/>
      <c r="C42" s="83"/>
      <c r="D42" s="91"/>
      <c r="E42" s="96"/>
      <c r="F42" s="96"/>
      <c r="G42" s="96"/>
      <c r="H42" s="96"/>
      <c r="I42" s="96"/>
      <c r="J42" s="96"/>
      <c r="K42" s="96"/>
      <c r="L42" s="96"/>
      <c r="M42" s="96"/>
    </row>
    <row r="43" spans="1:13">
      <c r="A43" s="108"/>
      <c r="B43" s="73"/>
      <c r="C43" s="83"/>
      <c r="D43" s="91"/>
      <c r="E43" s="96"/>
      <c r="F43" s="156"/>
      <c r="G43" s="156"/>
      <c r="H43" s="156"/>
      <c r="I43" s="96"/>
      <c r="J43" s="96"/>
      <c r="K43" s="96"/>
      <c r="L43" s="96"/>
      <c r="M43" s="96"/>
    </row>
    <row r="44" spans="1:13">
      <c r="A44" s="90"/>
      <c r="B44" s="73"/>
      <c r="C44" s="83"/>
      <c r="D44" s="91"/>
      <c r="E44" s="91"/>
      <c r="F44" s="90"/>
      <c r="G44" s="90"/>
      <c r="H44" s="90"/>
      <c r="I44" s="92"/>
      <c r="J44" s="92"/>
      <c r="K44" s="92"/>
      <c r="L44" s="92"/>
      <c r="M44" s="90"/>
    </row>
    <row r="45" spans="1:13" ht="13.5" customHeight="1"/>
    <row r="46" spans="1:13" ht="13.5" customHeight="1"/>
  </sheetData>
  <mergeCells count="8">
    <mergeCell ref="A28:A29"/>
    <mergeCell ref="B28:E28"/>
    <mergeCell ref="F28:I28"/>
    <mergeCell ref="A1:M1"/>
    <mergeCell ref="A3:M3"/>
    <mergeCell ref="A5:A7"/>
    <mergeCell ref="B5:B7"/>
    <mergeCell ref="C5:C7"/>
  </mergeCells>
  <phoneticPr fontId="2"/>
  <printOptions horizontalCentered="1" verticalCentered="1"/>
  <pageMargins left="0.70866141732283472" right="0.51181102362204722" top="0.55118110236220474" bottom="0.74803149606299213" header="0.31496062992125984" footer="0.31496062992125984"/>
  <pageSetup paperSize="8" scale="129" orientation="landscape" r:id="rId1"/>
  <headerFooter>
    <oddHeader xml:space="preserve">&amp;R
</oddHeader>
  </headerFooter>
  <rowBreaks count="1" manualBreakCount="1">
    <brk id="41"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selection activeCell="J39" sqref="J39"/>
    </sheetView>
  </sheetViews>
  <sheetFormatPr defaultRowHeight="13.5"/>
  <cols>
    <col min="1" max="1" width="2.625" bestFit="1" customWidth="1"/>
    <col min="2" max="2" width="22.625" bestFit="1" customWidth="1"/>
  </cols>
  <sheetData>
    <row r="1" spans="1:9" ht="14.25">
      <c r="A1" s="68" t="s">
        <v>84</v>
      </c>
    </row>
    <row r="3" spans="1:9">
      <c r="A3" t="s">
        <v>107</v>
      </c>
    </row>
    <row r="4" spans="1:9">
      <c r="H4" s="49" t="s">
        <v>93</v>
      </c>
    </row>
    <row r="5" spans="1:9">
      <c r="A5" s="217" t="s">
        <v>73</v>
      </c>
      <c r="B5" s="59" t="s">
        <v>76</v>
      </c>
      <c r="C5" s="60" t="s">
        <v>75</v>
      </c>
      <c r="D5" s="60" t="s">
        <v>74</v>
      </c>
      <c r="E5" s="60" t="s">
        <v>56</v>
      </c>
      <c r="F5" s="60" t="s">
        <v>57</v>
      </c>
      <c r="G5" s="60" t="s">
        <v>58</v>
      </c>
      <c r="H5" s="60" t="s">
        <v>59</v>
      </c>
    </row>
    <row r="6" spans="1:9">
      <c r="A6" s="217"/>
      <c r="B6" s="43" t="s">
        <v>5</v>
      </c>
      <c r="C6" s="42">
        <v>912470</v>
      </c>
      <c r="D6" s="41">
        <v>901649</v>
      </c>
      <c r="E6" s="41">
        <v>891984</v>
      </c>
      <c r="F6" s="41">
        <v>881370</v>
      </c>
      <c r="G6" s="41">
        <v>868520</v>
      </c>
      <c r="H6" s="27">
        <v>848894</v>
      </c>
    </row>
    <row r="7" spans="1:9">
      <c r="A7" s="217"/>
      <c r="B7" s="43" t="s">
        <v>96</v>
      </c>
      <c r="C7" s="64">
        <v>1726</v>
      </c>
      <c r="D7" s="65">
        <v>1698</v>
      </c>
      <c r="E7" s="66">
        <v>1650</v>
      </c>
      <c r="F7" s="66">
        <v>1626</v>
      </c>
      <c r="G7" s="66">
        <v>1635</v>
      </c>
      <c r="H7" s="66">
        <v>1659</v>
      </c>
    </row>
    <row r="8" spans="1:9">
      <c r="A8" s="217"/>
      <c r="B8" s="43" t="s">
        <v>92</v>
      </c>
      <c r="C8" s="63">
        <f t="shared" ref="C8:G8" si="0">C7/C6</f>
        <v>1.8915690378861771E-3</v>
      </c>
      <c r="D8" s="63">
        <f t="shared" si="0"/>
        <v>1.883216196102918E-3</v>
      </c>
      <c r="E8" s="63">
        <f t="shared" si="0"/>
        <v>1.849808965183232E-3</v>
      </c>
      <c r="F8" s="63">
        <f t="shared" si="0"/>
        <v>1.8448551686578848E-3</v>
      </c>
      <c r="G8" s="63">
        <f t="shared" si="0"/>
        <v>1.8825127803619951E-3</v>
      </c>
      <c r="H8" s="63">
        <f>H7/H6</f>
        <v>1.954307604954211E-3</v>
      </c>
    </row>
    <row r="9" spans="1:9">
      <c r="A9" s="70" t="s">
        <v>100</v>
      </c>
      <c r="B9" s="71" t="s">
        <v>101</v>
      </c>
      <c r="C9" s="69"/>
      <c r="D9" s="69"/>
      <c r="E9" s="69"/>
      <c r="F9" s="69"/>
      <c r="G9" s="69"/>
      <c r="H9" s="69"/>
    </row>
    <row r="11" spans="1:9">
      <c r="A11" s="62"/>
      <c r="B11" s="62"/>
      <c r="C11" s="62"/>
      <c r="D11" s="62"/>
      <c r="E11" s="62"/>
      <c r="F11" s="62"/>
      <c r="G11" s="62"/>
      <c r="H11" s="62"/>
      <c r="I11" s="62"/>
    </row>
    <row r="12" spans="1:9">
      <c r="A12" s="54" t="s">
        <v>108</v>
      </c>
      <c r="B12" s="54"/>
      <c r="C12" s="54"/>
      <c r="D12" s="54"/>
      <c r="E12" s="54"/>
      <c r="F12" s="54"/>
      <c r="G12" s="54"/>
      <c r="H12" s="54"/>
      <c r="I12" s="54"/>
    </row>
    <row r="13" spans="1:9">
      <c r="H13" s="49" t="s">
        <v>93</v>
      </c>
    </row>
    <row r="14" spans="1:9">
      <c r="A14" s="217" t="s">
        <v>78</v>
      </c>
      <c r="B14" s="59" t="s">
        <v>76</v>
      </c>
      <c r="C14" s="60" t="s">
        <v>75</v>
      </c>
      <c r="D14" s="60" t="s">
        <v>74</v>
      </c>
      <c r="E14" s="60" t="s">
        <v>56</v>
      </c>
      <c r="F14" s="60" t="s">
        <v>57</v>
      </c>
      <c r="G14" s="60" t="s">
        <v>58</v>
      </c>
      <c r="H14" s="60" t="s">
        <v>59</v>
      </c>
    </row>
    <row r="15" spans="1:9">
      <c r="A15" s="217"/>
      <c r="B15" s="43" t="s">
        <v>77</v>
      </c>
      <c r="C15" s="42">
        <v>613</v>
      </c>
      <c r="D15" s="42">
        <v>577</v>
      </c>
      <c r="E15" s="41">
        <v>570</v>
      </c>
      <c r="F15" s="27">
        <v>566</v>
      </c>
      <c r="G15" s="27">
        <v>580</v>
      </c>
      <c r="H15" s="27">
        <v>528</v>
      </c>
    </row>
    <row r="16" spans="1:9">
      <c r="A16" s="217"/>
      <c r="B16" s="43" t="s">
        <v>32</v>
      </c>
      <c r="C16" s="58" t="s">
        <v>95</v>
      </c>
      <c r="D16" s="45">
        <f>(D15-C15)/C15</f>
        <v>-5.872756933115824E-2</v>
      </c>
      <c r="E16" s="45">
        <f t="shared" ref="E16:H16" si="1">(E15-D15)/D15</f>
        <v>-1.2131715771230503E-2</v>
      </c>
      <c r="F16" s="45">
        <f t="shared" si="1"/>
        <v>-7.0175438596491229E-3</v>
      </c>
      <c r="G16" s="45">
        <f t="shared" si="1"/>
        <v>2.4734982332155476E-2</v>
      </c>
      <c r="H16" s="45">
        <f t="shared" si="1"/>
        <v>-8.9655172413793102E-2</v>
      </c>
    </row>
    <row r="17" spans="1:8">
      <c r="A17" s="70" t="s">
        <v>100</v>
      </c>
      <c r="B17" s="71" t="s">
        <v>102</v>
      </c>
      <c r="C17" s="54"/>
      <c r="D17" s="55"/>
      <c r="E17" s="55"/>
      <c r="F17" s="55"/>
      <c r="G17" s="55"/>
      <c r="H17" s="55"/>
    </row>
    <row r="18" spans="1:8">
      <c r="A18" s="70"/>
      <c r="B18" s="71"/>
      <c r="C18" s="54"/>
      <c r="D18" s="55"/>
      <c r="E18" s="55"/>
      <c r="F18" s="55"/>
      <c r="G18" s="55"/>
      <c r="H18" s="55"/>
    </row>
    <row r="19" spans="1:8">
      <c r="H19" s="49" t="s">
        <v>93</v>
      </c>
    </row>
    <row r="20" spans="1:8">
      <c r="A20" s="217" t="s">
        <v>79</v>
      </c>
      <c r="B20" s="59" t="s">
        <v>76</v>
      </c>
      <c r="C20" s="60" t="s">
        <v>81</v>
      </c>
      <c r="D20" s="60" t="s">
        <v>75</v>
      </c>
      <c r="E20" s="60" t="s">
        <v>74</v>
      </c>
      <c r="F20" s="60" t="s">
        <v>56</v>
      </c>
      <c r="G20" s="60" t="s">
        <v>57</v>
      </c>
      <c r="H20" s="60" t="s">
        <v>58</v>
      </c>
    </row>
    <row r="21" spans="1:8">
      <c r="A21" s="217"/>
      <c r="B21" s="43" t="s">
        <v>80</v>
      </c>
      <c r="C21" s="50">
        <v>7470</v>
      </c>
      <c r="D21" s="51">
        <v>7837</v>
      </c>
      <c r="E21" s="28">
        <v>8363</v>
      </c>
      <c r="F21" s="50">
        <v>9858</v>
      </c>
      <c r="G21" s="50">
        <v>12399</v>
      </c>
      <c r="H21" s="50">
        <v>13635</v>
      </c>
    </row>
    <row r="22" spans="1:8">
      <c r="A22" s="217"/>
      <c r="B22" s="43" t="s">
        <v>32</v>
      </c>
      <c r="C22" s="58" t="s">
        <v>95</v>
      </c>
      <c r="D22" s="44">
        <f>(D21-C21)/C21</f>
        <v>4.9129852744310573E-2</v>
      </c>
      <c r="E22" s="44">
        <f>(E21-D21)/D21</f>
        <v>6.7117519458976649E-2</v>
      </c>
      <c r="F22" s="44">
        <f t="shared" ref="F22:H22" si="2">(F21-E21)/E21</f>
        <v>0.17876360157838098</v>
      </c>
      <c r="G22" s="44">
        <f t="shared" si="2"/>
        <v>0.25776019476567252</v>
      </c>
      <c r="H22" s="44">
        <f t="shared" si="2"/>
        <v>9.9685458504718119E-2</v>
      </c>
    </row>
    <row r="23" spans="1:8">
      <c r="A23" s="70" t="s">
        <v>100</v>
      </c>
      <c r="B23" s="71" t="s">
        <v>102</v>
      </c>
      <c r="C23" s="54"/>
      <c r="D23" s="56"/>
      <c r="E23" s="56"/>
      <c r="F23" s="56"/>
      <c r="G23" s="56"/>
      <c r="H23" s="56"/>
    </row>
    <row r="24" spans="1:8">
      <c r="A24" s="70"/>
      <c r="B24" s="71"/>
      <c r="C24" s="54"/>
      <c r="D24" s="56"/>
      <c r="E24" s="56"/>
      <c r="F24" s="56"/>
      <c r="G24" s="56"/>
      <c r="H24" s="56"/>
    </row>
    <row r="25" spans="1:8">
      <c r="H25" s="49" t="s">
        <v>93</v>
      </c>
    </row>
    <row r="26" spans="1:8">
      <c r="A26" s="217" t="s">
        <v>82</v>
      </c>
      <c r="B26" s="59" t="s">
        <v>76</v>
      </c>
      <c r="C26" s="60" t="s">
        <v>81</v>
      </c>
      <c r="D26" s="60" t="s">
        <v>75</v>
      </c>
      <c r="E26" s="60" t="s">
        <v>74</v>
      </c>
      <c r="F26" s="60" t="s">
        <v>56</v>
      </c>
      <c r="G26" s="60" t="s">
        <v>57</v>
      </c>
      <c r="H26" s="60" t="s">
        <v>58</v>
      </c>
    </row>
    <row r="27" spans="1:8">
      <c r="A27" s="217"/>
      <c r="B27" s="43" t="s">
        <v>83</v>
      </c>
      <c r="C27" s="52">
        <v>1589</v>
      </c>
      <c r="D27" s="52">
        <v>1906</v>
      </c>
      <c r="E27" s="52">
        <v>1818</v>
      </c>
      <c r="F27" s="52">
        <v>1829</v>
      </c>
      <c r="G27" s="52">
        <v>2055</v>
      </c>
      <c r="H27" s="52">
        <v>2145</v>
      </c>
    </row>
    <row r="28" spans="1:8">
      <c r="A28" s="217"/>
      <c r="B28" s="43" t="s">
        <v>32</v>
      </c>
      <c r="C28" s="58" t="s">
        <v>95</v>
      </c>
      <c r="D28" s="44">
        <f>(D27-C27)/C27</f>
        <v>0.19949653870358716</v>
      </c>
      <c r="E28" s="44">
        <f t="shared" ref="E28:H28" si="3">(E27-D27)/D27</f>
        <v>-4.6169989506820566E-2</v>
      </c>
      <c r="F28" s="44">
        <f t="shared" si="3"/>
        <v>6.0506050605060504E-3</v>
      </c>
      <c r="G28" s="44">
        <f t="shared" si="3"/>
        <v>0.12356478950246036</v>
      </c>
      <c r="H28" s="44">
        <f t="shared" si="3"/>
        <v>4.3795620437956206E-2</v>
      </c>
    </row>
    <row r="29" spans="1:8">
      <c r="A29" s="70" t="s">
        <v>100</v>
      </c>
      <c r="B29" s="71" t="s">
        <v>102</v>
      </c>
      <c r="C29" s="54"/>
      <c r="D29" s="56"/>
      <c r="E29" s="56"/>
      <c r="F29" s="56"/>
      <c r="G29" s="56"/>
      <c r="H29" s="56"/>
    </row>
    <row r="30" spans="1:8">
      <c r="A30" s="70"/>
      <c r="B30" s="71"/>
      <c r="C30" s="54"/>
      <c r="D30" s="56"/>
      <c r="E30" s="56"/>
      <c r="F30" s="56"/>
      <c r="G30" s="56"/>
      <c r="H30" s="56"/>
    </row>
    <row r="31" spans="1:8">
      <c r="E31" s="49" t="s">
        <v>94</v>
      </c>
      <c r="H31" s="49"/>
    </row>
    <row r="32" spans="1:8">
      <c r="A32" s="218" t="s">
        <v>85</v>
      </c>
      <c r="B32" s="59" t="s">
        <v>76</v>
      </c>
      <c r="C32" s="60" t="s">
        <v>57</v>
      </c>
      <c r="D32" s="60" t="s">
        <v>58</v>
      </c>
      <c r="E32" s="60" t="s">
        <v>59</v>
      </c>
      <c r="F32" s="4"/>
      <c r="G32" s="4"/>
      <c r="H32" s="4"/>
    </row>
    <row r="33" spans="1:8" ht="39.75" customHeight="1">
      <c r="A33" s="219"/>
      <c r="B33" s="46" t="s">
        <v>97</v>
      </c>
      <c r="C33" s="52">
        <v>6431</v>
      </c>
      <c r="D33" s="52">
        <v>6879</v>
      </c>
      <c r="E33" s="52">
        <v>8121</v>
      </c>
      <c r="F33" s="67"/>
      <c r="G33" s="67"/>
      <c r="H33" s="67"/>
    </row>
    <row r="34" spans="1:8" ht="30" customHeight="1">
      <c r="A34" s="220"/>
      <c r="B34" s="46" t="s">
        <v>98</v>
      </c>
      <c r="C34" s="58" t="s">
        <v>99</v>
      </c>
      <c r="D34" s="44">
        <f>(D33-C33)/C33</f>
        <v>6.9662571917275692E-2</v>
      </c>
      <c r="E34" s="44">
        <f>(E33-D33)/D33</f>
        <v>0.18054949847361534</v>
      </c>
      <c r="F34" s="54"/>
      <c r="G34" s="54"/>
      <c r="H34" s="54"/>
    </row>
    <row r="35" spans="1:8">
      <c r="A35" s="70" t="s">
        <v>100</v>
      </c>
      <c r="B35" s="71" t="s">
        <v>103</v>
      </c>
      <c r="C35" s="53"/>
      <c r="D35" s="56"/>
      <c r="E35" s="56"/>
      <c r="F35" s="54"/>
      <c r="G35" s="54"/>
      <c r="H35" s="54"/>
    </row>
    <row r="36" spans="1:8">
      <c r="A36" s="53"/>
      <c r="B36" s="57"/>
      <c r="C36" s="54"/>
      <c r="D36" s="54"/>
      <c r="E36" s="54"/>
      <c r="F36" s="54"/>
      <c r="G36" s="54"/>
      <c r="H36" s="54"/>
    </row>
    <row r="37" spans="1:8">
      <c r="D37" s="49" t="s">
        <v>187</v>
      </c>
    </row>
    <row r="38" spans="1:8">
      <c r="A38" s="217" t="s">
        <v>89</v>
      </c>
      <c r="B38" s="59" t="s">
        <v>76</v>
      </c>
      <c r="C38" s="60" t="s">
        <v>86</v>
      </c>
      <c r="D38" s="60" t="s">
        <v>87</v>
      </c>
    </row>
    <row r="39" spans="1:8" ht="39.950000000000003" customHeight="1">
      <c r="A39" s="217"/>
      <c r="B39" s="47" t="s">
        <v>90</v>
      </c>
      <c r="C39" s="52">
        <v>3359</v>
      </c>
      <c r="D39" s="52">
        <v>3647</v>
      </c>
    </row>
    <row r="40" spans="1:8" ht="39.950000000000003" customHeight="1">
      <c r="A40" s="217"/>
      <c r="B40" s="47" t="s">
        <v>91</v>
      </c>
      <c r="C40" s="52">
        <v>782</v>
      </c>
      <c r="D40" s="52">
        <v>712</v>
      </c>
    </row>
    <row r="41" spans="1:8" ht="39.950000000000003" customHeight="1">
      <c r="A41" s="217"/>
      <c r="B41" s="48" t="s">
        <v>88</v>
      </c>
      <c r="C41" s="52">
        <v>6346</v>
      </c>
      <c r="D41" s="52">
        <v>6480</v>
      </c>
    </row>
    <row r="42" spans="1:8">
      <c r="A42" s="70" t="s">
        <v>100</v>
      </c>
      <c r="B42" s="71" t="s">
        <v>104</v>
      </c>
    </row>
  </sheetData>
  <mergeCells count="6">
    <mergeCell ref="A38:A41"/>
    <mergeCell ref="A5:A8"/>
    <mergeCell ref="A32:A34"/>
    <mergeCell ref="A14:A16"/>
    <mergeCell ref="A20:A22"/>
    <mergeCell ref="A26:A2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手順の整理</vt:lpstr>
      <vt:lpstr>①現在の見込と実績の乖離</vt:lpstr>
      <vt:lpstr>②児童人口の将来推計</vt:lpstr>
      <vt:lpstr>③代替養育を必要とする子ども数の見込み</vt:lpstr>
      <vt:lpstr>【参考】データa～ｆ</vt:lpstr>
      <vt:lpstr>①現在の見込と実績の乖離!Print_Area</vt:lpstr>
      <vt:lpstr>②児童人口の将来推計!Print_Area</vt:lpstr>
      <vt:lpstr>③代替養育を必要とする子ども数の見込み!Print_Area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2018-08-08T01:23:36Z</cp:lastPrinted>
  <dcterms:created xsi:type="dcterms:W3CDTF">2013-06-25T11:07:41Z</dcterms:created>
  <dcterms:modified xsi:type="dcterms:W3CDTF">2018-10-09T12:24:09Z</dcterms:modified>
</cp:coreProperties>
</file>