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Sheet1" sheetId="1" r:id="rId1"/>
  </sheets>
  <externalReferences>
    <externalReference r:id="rId2"/>
  </externalReferences>
  <definedNames>
    <definedName name="_xlnm.Print_Area" localSheetId="0">Sheet1!$A$1:$X$76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Q76" i="1" l="1"/>
  <c r="L76" i="1"/>
  <c r="G76" i="1"/>
  <c r="B76" i="1"/>
  <c r="V76" i="1" s="1"/>
  <c r="Q75" i="1"/>
  <c r="L75" i="1"/>
  <c r="G75" i="1"/>
  <c r="B75" i="1"/>
  <c r="V75" i="1" s="1"/>
  <c r="Q74" i="1"/>
  <c r="L74" i="1"/>
  <c r="G74" i="1"/>
  <c r="B74" i="1"/>
  <c r="V74" i="1" s="1"/>
  <c r="Q73" i="1"/>
  <c r="L73" i="1"/>
  <c r="G73" i="1"/>
  <c r="B73" i="1"/>
  <c r="V73" i="1" s="1"/>
  <c r="R70" i="1"/>
  <c r="M70" i="1"/>
  <c r="H70" i="1"/>
  <c r="C70" i="1"/>
  <c r="R69" i="1"/>
  <c r="M69" i="1"/>
  <c r="H69" i="1"/>
  <c r="C69" i="1"/>
  <c r="C68" i="1" s="1"/>
  <c r="D69" i="1" s="1"/>
  <c r="R68" i="1"/>
  <c r="R67" i="1"/>
  <c r="M67" i="1"/>
  <c r="H67" i="1"/>
  <c r="C67" i="1"/>
  <c r="R66" i="1"/>
  <c r="M66" i="1"/>
  <c r="H66" i="1"/>
  <c r="C66" i="1"/>
  <c r="W66" i="1" s="1"/>
  <c r="R64" i="1"/>
  <c r="M64" i="1"/>
  <c r="H64" i="1"/>
  <c r="C64" i="1"/>
  <c r="R63" i="1"/>
  <c r="M63" i="1"/>
  <c r="H63" i="1"/>
  <c r="C63" i="1"/>
  <c r="R62" i="1"/>
  <c r="R61" i="1"/>
  <c r="M61" i="1"/>
  <c r="H61" i="1"/>
  <c r="C61" i="1"/>
  <c r="R60" i="1"/>
  <c r="M60" i="1"/>
  <c r="H60" i="1"/>
  <c r="C60" i="1"/>
  <c r="R59" i="1"/>
  <c r="M59" i="1"/>
  <c r="H59" i="1"/>
  <c r="C59" i="1"/>
  <c r="R58" i="1"/>
  <c r="M58" i="1"/>
  <c r="H58" i="1"/>
  <c r="C58" i="1"/>
  <c r="R57" i="1"/>
  <c r="M57" i="1"/>
  <c r="H57" i="1"/>
  <c r="C57" i="1"/>
  <c r="R56" i="1"/>
  <c r="M56" i="1"/>
  <c r="H56" i="1"/>
  <c r="C56" i="1"/>
  <c r="R55" i="1"/>
  <c r="M55" i="1"/>
  <c r="H55" i="1"/>
  <c r="C55" i="1"/>
  <c r="M54" i="1"/>
  <c r="N60" i="1" s="1"/>
  <c r="R53" i="1"/>
  <c r="M53" i="1"/>
  <c r="H53" i="1"/>
  <c r="C53" i="1"/>
  <c r="R52" i="1"/>
  <c r="M52" i="1"/>
  <c r="H52" i="1"/>
  <c r="C52" i="1"/>
  <c r="R51" i="1"/>
  <c r="M51" i="1"/>
  <c r="H51" i="1"/>
  <c r="C51" i="1"/>
  <c r="R50" i="1"/>
  <c r="M50" i="1"/>
  <c r="H50" i="1"/>
  <c r="C50" i="1"/>
  <c r="R49" i="1"/>
  <c r="M49" i="1"/>
  <c r="H49" i="1"/>
  <c r="C49" i="1"/>
  <c r="R48" i="1"/>
  <c r="M48" i="1"/>
  <c r="H48" i="1"/>
  <c r="C48" i="1"/>
  <c r="C47" i="1"/>
  <c r="D53" i="1" s="1"/>
  <c r="R46" i="1"/>
  <c r="M46" i="1"/>
  <c r="H46" i="1"/>
  <c r="C46" i="1"/>
  <c r="R45" i="1"/>
  <c r="M45" i="1"/>
  <c r="H45" i="1"/>
  <c r="C45" i="1"/>
  <c r="R44" i="1"/>
  <c r="M44" i="1"/>
  <c r="H44" i="1"/>
  <c r="C44" i="1"/>
  <c r="R43" i="1"/>
  <c r="M43" i="1"/>
  <c r="H43" i="1"/>
  <c r="C43" i="1"/>
  <c r="R42" i="1"/>
  <c r="M42" i="1"/>
  <c r="H42" i="1"/>
  <c r="C42" i="1"/>
  <c r="R41" i="1"/>
  <c r="M41" i="1"/>
  <c r="H41" i="1"/>
  <c r="C41" i="1"/>
  <c r="R40" i="1"/>
  <c r="M40" i="1"/>
  <c r="H40" i="1"/>
  <c r="C40" i="1"/>
  <c r="R39" i="1"/>
  <c r="M39" i="1"/>
  <c r="H39" i="1"/>
  <c r="H38" i="1" s="1"/>
  <c r="I43" i="1" s="1"/>
  <c r="C39" i="1"/>
  <c r="C38" i="1" s="1"/>
  <c r="R37" i="1"/>
  <c r="M37" i="1"/>
  <c r="H37" i="1"/>
  <c r="C37" i="1"/>
  <c r="R36" i="1"/>
  <c r="S36" i="1" s="1"/>
  <c r="M36" i="1"/>
  <c r="H36" i="1"/>
  <c r="C36" i="1"/>
  <c r="R35" i="1"/>
  <c r="H35" i="1"/>
  <c r="I36" i="1" s="1"/>
  <c r="R34" i="1"/>
  <c r="R32" i="1" s="1"/>
  <c r="S33" i="1" s="1"/>
  <c r="M34" i="1"/>
  <c r="H34" i="1"/>
  <c r="C34" i="1"/>
  <c r="R33" i="1"/>
  <c r="M33" i="1"/>
  <c r="H33" i="1"/>
  <c r="C33" i="1"/>
  <c r="H32" i="1"/>
  <c r="I33" i="1" s="1"/>
  <c r="R31" i="1"/>
  <c r="S31" i="1" s="1"/>
  <c r="M31" i="1"/>
  <c r="M29" i="1" s="1"/>
  <c r="N30" i="1" s="1"/>
  <c r="H31" i="1"/>
  <c r="C31" i="1"/>
  <c r="W31" i="1" s="1"/>
  <c r="S30" i="1"/>
  <c r="R30" i="1"/>
  <c r="M30" i="1"/>
  <c r="H30" i="1"/>
  <c r="C30" i="1"/>
  <c r="C29" i="1" s="1"/>
  <c r="R28" i="1"/>
  <c r="M28" i="1"/>
  <c r="H28" i="1"/>
  <c r="C28" i="1"/>
  <c r="R27" i="1"/>
  <c r="M27" i="1"/>
  <c r="H27" i="1"/>
  <c r="C27" i="1"/>
  <c r="R26" i="1"/>
  <c r="M26" i="1"/>
  <c r="H26" i="1"/>
  <c r="C26" i="1"/>
  <c r="R25" i="1"/>
  <c r="M25" i="1"/>
  <c r="H25" i="1"/>
  <c r="C25" i="1"/>
  <c r="R24" i="1"/>
  <c r="M24" i="1"/>
  <c r="H24" i="1"/>
  <c r="C24" i="1"/>
  <c r="R23" i="1"/>
  <c r="M23" i="1"/>
  <c r="H23" i="1"/>
  <c r="C23" i="1"/>
  <c r="R22" i="1"/>
  <c r="M22" i="1"/>
  <c r="M20" i="1" s="1"/>
  <c r="H22" i="1"/>
  <c r="C22" i="1"/>
  <c r="R21" i="1"/>
  <c r="R20" i="1" s="1"/>
  <c r="M21" i="1"/>
  <c r="H21" i="1"/>
  <c r="C21" i="1"/>
  <c r="R19" i="1"/>
  <c r="M19" i="1"/>
  <c r="H19" i="1"/>
  <c r="C19" i="1"/>
  <c r="R18" i="1"/>
  <c r="M18" i="1"/>
  <c r="H18" i="1"/>
  <c r="C18" i="1"/>
  <c r="R17" i="1"/>
  <c r="S18" i="1" s="1"/>
  <c r="C17" i="1"/>
  <c r="D18" i="1" s="1"/>
  <c r="R16" i="1"/>
  <c r="S16" i="1" s="1"/>
  <c r="M16" i="1"/>
  <c r="N16" i="1" s="1"/>
  <c r="H16" i="1"/>
  <c r="I16" i="1" s="1"/>
  <c r="C16" i="1"/>
  <c r="D16" i="1" s="1"/>
  <c r="R15" i="1"/>
  <c r="S15" i="1" s="1"/>
  <c r="M15" i="1"/>
  <c r="N15" i="1" s="1"/>
  <c r="H15" i="1"/>
  <c r="I15" i="1" s="1"/>
  <c r="D15" i="1"/>
  <c r="C15" i="1"/>
  <c r="R14" i="1"/>
  <c r="S14" i="1" s="1"/>
  <c r="M14" i="1"/>
  <c r="N14" i="1" s="1"/>
  <c r="H14" i="1"/>
  <c r="I14" i="1" s="1"/>
  <c r="C14" i="1"/>
  <c r="D14" i="1" s="1"/>
  <c r="S13" i="1"/>
  <c r="R13" i="1"/>
  <c r="M13" i="1"/>
  <c r="N13" i="1" s="1"/>
  <c r="H13" i="1"/>
  <c r="I13" i="1" s="1"/>
  <c r="C13" i="1"/>
  <c r="R12" i="1"/>
  <c r="S12" i="1" s="1"/>
  <c r="M12" i="1"/>
  <c r="N12" i="1" s="1"/>
  <c r="H12" i="1"/>
  <c r="I12" i="1" s="1"/>
  <c r="C12" i="1"/>
  <c r="D12" i="1" s="1"/>
  <c r="R11" i="1"/>
  <c r="S11" i="1" s="1"/>
  <c r="M11" i="1"/>
  <c r="N11" i="1" s="1"/>
  <c r="H11" i="1"/>
  <c r="I11" i="1" s="1"/>
  <c r="D11" i="1"/>
  <c r="C11" i="1"/>
  <c r="W10" i="1"/>
  <c r="R9" i="1"/>
  <c r="M9" i="1"/>
  <c r="H9" i="1"/>
  <c r="C9" i="1"/>
  <c r="R8" i="1"/>
  <c r="M8" i="1"/>
  <c r="H8" i="1"/>
  <c r="C8" i="1"/>
  <c r="W8" i="1" s="1"/>
  <c r="R7" i="1"/>
  <c r="M7" i="1"/>
  <c r="H7" i="1"/>
  <c r="C7" i="1"/>
  <c r="W7" i="1" s="1"/>
  <c r="R6" i="1"/>
  <c r="M6" i="1"/>
  <c r="H6" i="1"/>
  <c r="C6" i="1"/>
  <c r="C5" i="1" s="1"/>
  <c r="H5" i="1"/>
  <c r="I6" i="1" s="1"/>
  <c r="R4" i="1"/>
  <c r="M4" i="1"/>
  <c r="H4" i="1"/>
  <c r="C4" i="1"/>
  <c r="R3" i="1"/>
  <c r="M3" i="1"/>
  <c r="H3" i="1"/>
  <c r="C3" i="1"/>
  <c r="N21" i="1" l="1"/>
  <c r="N22" i="1"/>
  <c r="I42" i="1"/>
  <c r="D70" i="1"/>
  <c r="I7" i="1"/>
  <c r="I8" i="1"/>
  <c r="I9" i="1"/>
  <c r="W11" i="1"/>
  <c r="W15" i="1"/>
  <c r="W18" i="1"/>
  <c r="S19" i="1"/>
  <c r="W22" i="1"/>
  <c r="C35" i="1"/>
  <c r="S37" i="1"/>
  <c r="D48" i="1"/>
  <c r="W49" i="1"/>
  <c r="R47" i="1"/>
  <c r="N55" i="1"/>
  <c r="N57" i="1"/>
  <c r="N59" i="1"/>
  <c r="N61" i="1"/>
  <c r="W63" i="1"/>
  <c r="S63" i="1"/>
  <c r="S64" i="1"/>
  <c r="D67" i="1"/>
  <c r="I34" i="1"/>
  <c r="I44" i="1"/>
  <c r="W24" i="1"/>
  <c r="W25" i="1"/>
  <c r="W26" i="1"/>
  <c r="W28" i="1"/>
  <c r="C32" i="1"/>
  <c r="D33" i="1" s="1"/>
  <c r="S34" i="1"/>
  <c r="W37" i="1"/>
  <c r="R38" i="1"/>
  <c r="S41" i="1" s="1"/>
  <c r="D50" i="1"/>
  <c r="W51" i="1"/>
  <c r="W52" i="1"/>
  <c r="W53" i="1"/>
  <c r="C65" i="1"/>
  <c r="D66" i="1" s="1"/>
  <c r="I40" i="1"/>
  <c r="M47" i="1"/>
  <c r="N50" i="1" s="1"/>
  <c r="W3" i="1"/>
  <c r="W4" i="1"/>
  <c r="W13" i="1"/>
  <c r="X13" i="1" s="1"/>
  <c r="W30" i="1"/>
  <c r="W34" i="1"/>
  <c r="I37" i="1"/>
  <c r="W40" i="1"/>
  <c r="W41" i="1"/>
  <c r="W43" i="1"/>
  <c r="W44" i="1"/>
  <c r="W45" i="1"/>
  <c r="W46" i="1"/>
  <c r="W55" i="1"/>
  <c r="W56" i="1"/>
  <c r="W58" i="1"/>
  <c r="W59" i="1"/>
  <c r="W60" i="1"/>
  <c r="C62" i="1"/>
  <c r="D63" i="1" s="1"/>
  <c r="R65" i="1"/>
  <c r="S67" i="1" s="1"/>
  <c r="W69" i="1"/>
  <c r="S69" i="1"/>
  <c r="S70" i="1"/>
  <c r="D8" i="1"/>
  <c r="D9" i="1"/>
  <c r="N9" i="1"/>
  <c r="X11" i="1"/>
  <c r="X15" i="1"/>
  <c r="M5" i="1"/>
  <c r="N8" i="1" s="1"/>
  <c r="W6" i="1"/>
  <c r="R5" i="1"/>
  <c r="S6" i="1" s="1"/>
  <c r="W12" i="1"/>
  <c r="W16" i="1"/>
  <c r="W19" i="1"/>
  <c r="S28" i="1"/>
  <c r="S26" i="1"/>
  <c r="S22" i="1"/>
  <c r="I21" i="1"/>
  <c r="H20" i="1"/>
  <c r="W21" i="1"/>
  <c r="S23" i="1"/>
  <c r="D27" i="1"/>
  <c r="S45" i="1"/>
  <c r="S51" i="1"/>
  <c r="S48" i="1"/>
  <c r="S53" i="1"/>
  <c r="S49" i="1"/>
  <c r="S52" i="1"/>
  <c r="W14" i="1"/>
  <c r="C20" i="1"/>
  <c r="D21" i="1" s="1"/>
  <c r="D7" i="1"/>
  <c r="D6" i="1"/>
  <c r="W9" i="1"/>
  <c r="D13" i="1"/>
  <c r="H17" i="1"/>
  <c r="I18" i="1" s="1"/>
  <c r="M17" i="1"/>
  <c r="N18" i="1" s="1"/>
  <c r="D19" i="1"/>
  <c r="D23" i="1"/>
  <c r="I25" i="1"/>
  <c r="I26" i="1"/>
  <c r="I27" i="1"/>
  <c r="D45" i="1"/>
  <c r="D41" i="1"/>
  <c r="D43" i="1"/>
  <c r="D39" i="1"/>
  <c r="D42" i="1"/>
  <c r="I23" i="1"/>
  <c r="N25" i="1"/>
  <c r="N27" i="1"/>
  <c r="N26" i="1"/>
  <c r="N28" i="1"/>
  <c r="N24" i="1"/>
  <c r="S21" i="1"/>
  <c r="N23" i="1"/>
  <c r="S24" i="1"/>
  <c r="S25" i="1"/>
  <c r="S27" i="1"/>
  <c r="D36" i="1"/>
  <c r="D25" i="1"/>
  <c r="H29" i="1"/>
  <c r="I30" i="1" s="1"/>
  <c r="D31" i="1"/>
  <c r="N31" i="1"/>
  <c r="M32" i="1"/>
  <c r="N33" i="1" s="1"/>
  <c r="W33" i="1"/>
  <c r="M35" i="1"/>
  <c r="N36" i="1" s="1"/>
  <c r="W36" i="1"/>
  <c r="D37" i="1"/>
  <c r="M38" i="1"/>
  <c r="N44" i="1" s="1"/>
  <c r="W39" i="1"/>
  <c r="D40" i="1"/>
  <c r="S42" i="1"/>
  <c r="D44" i="1"/>
  <c r="H47" i="1"/>
  <c r="W48" i="1"/>
  <c r="S50" i="1"/>
  <c r="D52" i="1"/>
  <c r="R54" i="1"/>
  <c r="W23" i="1"/>
  <c r="W27" i="1"/>
  <c r="D30" i="1"/>
  <c r="I41" i="1"/>
  <c r="W42" i="1"/>
  <c r="I45" i="1"/>
  <c r="W50" i="1"/>
  <c r="D51" i="1"/>
  <c r="N51" i="1"/>
  <c r="C54" i="1"/>
  <c r="D55" i="1" s="1"/>
  <c r="W57" i="1"/>
  <c r="N58" i="1"/>
  <c r="W61" i="1"/>
  <c r="H62" i="1"/>
  <c r="I63" i="1" s="1"/>
  <c r="W64" i="1"/>
  <c r="H65" i="1"/>
  <c r="W67" i="1"/>
  <c r="H68" i="1"/>
  <c r="W70" i="1"/>
  <c r="H54" i="1"/>
  <c r="I59" i="1" s="1"/>
  <c r="M62" i="1"/>
  <c r="N63" i="1" s="1"/>
  <c r="M65" i="1"/>
  <c r="N66" i="1" s="1"/>
  <c r="M68" i="1"/>
  <c r="N69" i="1" s="1"/>
  <c r="I39" i="1"/>
  <c r="W47" i="1"/>
  <c r="X49" i="1" s="1"/>
  <c r="D49" i="1"/>
  <c r="N56" i="1"/>
  <c r="S66" i="1" l="1"/>
  <c r="W65" i="1"/>
  <c r="X67" i="1" s="1"/>
  <c r="S39" i="1"/>
  <c r="N6" i="1"/>
  <c r="S40" i="1"/>
  <c r="I61" i="1"/>
  <c r="S44" i="1"/>
  <c r="S43" i="1"/>
  <c r="N53" i="1"/>
  <c r="N49" i="1"/>
  <c r="W68" i="1"/>
  <c r="D34" i="1"/>
  <c r="N52" i="1"/>
  <c r="D64" i="1"/>
  <c r="X69" i="1"/>
  <c r="X66" i="1"/>
  <c r="X50" i="1"/>
  <c r="X48" i="1"/>
  <c r="D60" i="1"/>
  <c r="D56" i="1"/>
  <c r="D58" i="1"/>
  <c r="W54" i="1"/>
  <c r="S58" i="1"/>
  <c r="S60" i="1"/>
  <c r="S56" i="1"/>
  <c r="I51" i="1"/>
  <c r="I53" i="1"/>
  <c r="I49" i="1"/>
  <c r="I60" i="1"/>
  <c r="W35" i="1"/>
  <c r="W62" i="1"/>
  <c r="D57" i="1"/>
  <c r="I67" i="1"/>
  <c r="S59" i="1"/>
  <c r="X53" i="1"/>
  <c r="I70" i="1"/>
  <c r="W32" i="1"/>
  <c r="I28" i="1"/>
  <c r="I24" i="1"/>
  <c r="S7" i="1"/>
  <c r="N45" i="1"/>
  <c r="N41" i="1"/>
  <c r="N43" i="1"/>
  <c r="N39" i="1"/>
  <c r="N42" i="1"/>
  <c r="N34" i="1"/>
  <c r="N67" i="1"/>
  <c r="D61" i="1"/>
  <c r="I52" i="1"/>
  <c r="I66" i="1"/>
  <c r="S57" i="1"/>
  <c r="X52" i="1"/>
  <c r="I48" i="1"/>
  <c r="I69" i="1"/>
  <c r="W29" i="1"/>
  <c r="S8" i="1"/>
  <c r="W5" i="1"/>
  <c r="X6" i="1" s="1"/>
  <c r="X61" i="1"/>
  <c r="I58" i="1"/>
  <c r="I56" i="1"/>
  <c r="D59" i="1"/>
  <c r="X33" i="1"/>
  <c r="N64" i="1"/>
  <c r="I57" i="1"/>
  <c r="N40" i="1"/>
  <c r="I31" i="1"/>
  <c r="I64" i="1"/>
  <c r="I50" i="1"/>
  <c r="S55" i="1"/>
  <c r="D26" i="1"/>
  <c r="D28" i="1"/>
  <c r="D24" i="1"/>
  <c r="D22" i="1"/>
  <c r="W20" i="1"/>
  <c r="X21" i="1" s="1"/>
  <c r="I22" i="1"/>
  <c r="X16" i="1"/>
  <c r="N7" i="1"/>
  <c r="N19" i="1"/>
  <c r="I19" i="1"/>
  <c r="X70" i="1"/>
  <c r="X57" i="1"/>
  <c r="X36" i="1"/>
  <c r="I55" i="1"/>
  <c r="N37" i="1"/>
  <c r="N70" i="1"/>
  <c r="S61" i="1"/>
  <c r="X51" i="1"/>
  <c r="W38" i="1"/>
  <c r="X9" i="1"/>
  <c r="X14" i="1"/>
  <c r="X12" i="1"/>
  <c r="W17" i="1"/>
  <c r="X19" i="1" s="1"/>
  <c r="S9" i="1"/>
  <c r="X25" i="1" l="1"/>
  <c r="X28" i="1"/>
  <c r="X22" i="1"/>
  <c r="X26" i="1"/>
  <c r="X24" i="1"/>
  <c r="X37" i="1"/>
  <c r="X8" i="1"/>
  <c r="X7" i="1"/>
  <c r="X34" i="1"/>
  <c r="X40" i="1"/>
  <c r="X45" i="1"/>
  <c r="X41" i="1"/>
  <c r="X43" i="1"/>
  <c r="X44" i="1"/>
  <c r="X23" i="1"/>
  <c r="X39" i="1"/>
  <c r="X27" i="1"/>
  <c r="X18" i="1"/>
  <c r="X30" i="1"/>
  <c r="X31" i="1"/>
  <c r="X42" i="1"/>
  <c r="X63" i="1"/>
  <c r="X55" i="1"/>
  <c r="X60" i="1"/>
  <c r="X56" i="1"/>
  <c r="X58" i="1"/>
  <c r="X59" i="1"/>
  <c r="X64" i="1"/>
</calcChain>
</file>

<file path=xl/sharedStrings.xml><?xml version="1.0" encoding="utf-8"?>
<sst xmlns="http://schemas.openxmlformats.org/spreadsheetml/2006/main" count="445" uniqueCount="70">
  <si>
    <t>【北部地域】</t>
    <rPh sb="1" eb="3">
      <t>ホクブ</t>
    </rPh>
    <rPh sb="3" eb="5">
      <t>チイキ</t>
    </rPh>
    <phoneticPr fontId="2"/>
  </si>
  <si>
    <t>【中部地域】</t>
    <rPh sb="1" eb="3">
      <t>チュウブ</t>
    </rPh>
    <rPh sb="3" eb="5">
      <t>チイキ</t>
    </rPh>
    <phoneticPr fontId="2"/>
  </si>
  <si>
    <t>【南河内地域】</t>
    <rPh sb="1" eb="4">
      <t>ミナミカワチ</t>
    </rPh>
    <rPh sb="4" eb="6">
      <t>チイキ</t>
    </rPh>
    <phoneticPr fontId="2"/>
  </si>
  <si>
    <t>【泉州地域】</t>
    <rPh sb="1" eb="3">
      <t>センシュウ</t>
    </rPh>
    <rPh sb="3" eb="5">
      <t>チイキ</t>
    </rPh>
    <phoneticPr fontId="2"/>
  </si>
  <si>
    <t>【全体】</t>
    <rPh sb="1" eb="3">
      <t>ゼンタイ</t>
    </rPh>
    <phoneticPr fontId="2"/>
  </si>
  <si>
    <t>分析データ</t>
    <rPh sb="0" eb="2">
      <t>ブンセキ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</si>
  <si>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</si>
  <si>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</si>
  <si>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直売所開設箇所数</t>
    <rPh sb="0" eb="3">
      <t>チョクバイショ</t>
    </rPh>
    <rPh sb="3" eb="5">
      <t>カイセツ</t>
    </rPh>
    <rPh sb="5" eb="7">
      <t>カショ</t>
    </rPh>
    <rPh sb="7" eb="8">
      <t>スウ</t>
    </rPh>
    <phoneticPr fontId="2"/>
  </si>
  <si>
    <t>HP開設数</t>
    <rPh sb="2" eb="4">
      <t>カイセツ</t>
    </rPh>
    <rPh sb="4" eb="5">
      <t>スウ</t>
    </rPh>
    <phoneticPr fontId="2"/>
  </si>
  <si>
    <t>開催状況</t>
    <rPh sb="0" eb="2">
      <t>カイサイ</t>
    </rPh>
    <rPh sb="2" eb="4">
      <t>ジョウキョウ</t>
    </rPh>
    <phoneticPr fontId="2"/>
  </si>
  <si>
    <t>有効回答数</t>
    <rPh sb="0" eb="2">
      <t>ユウコウ</t>
    </rPh>
    <rPh sb="2" eb="4">
      <t>カイトウ</t>
    </rPh>
    <rPh sb="4" eb="5">
      <t>スウ</t>
    </rPh>
    <phoneticPr fontId="2"/>
  </si>
  <si>
    <t>月１～２</t>
    <rPh sb="0" eb="1">
      <t>ツキ</t>
    </rPh>
    <phoneticPr fontId="2"/>
  </si>
  <si>
    <t>週1回</t>
    <rPh sb="0" eb="1">
      <t>シュウ</t>
    </rPh>
    <rPh sb="2" eb="3">
      <t>カイ</t>
    </rPh>
    <phoneticPr fontId="2"/>
  </si>
  <si>
    <t>週２～４</t>
    <rPh sb="0" eb="1">
      <t>シュウ</t>
    </rPh>
    <phoneticPr fontId="2"/>
  </si>
  <si>
    <t>週５以上</t>
    <rPh sb="0" eb="1">
      <t>シュウ</t>
    </rPh>
    <rPh sb="2" eb="4">
      <t>イジョウ</t>
    </rPh>
    <phoneticPr fontId="2"/>
  </si>
  <si>
    <t>販売品目</t>
    <rPh sb="0" eb="2">
      <t>ハンバイ</t>
    </rPh>
    <rPh sb="2" eb="4">
      <t>ヒンモク</t>
    </rPh>
    <phoneticPr fontId="2"/>
  </si>
  <si>
    <t>米</t>
    <rPh sb="0" eb="1">
      <t>コメ</t>
    </rPh>
    <phoneticPr fontId="2"/>
  </si>
  <si>
    <t>野菜</t>
    <rPh sb="0" eb="2">
      <t>ヤサイ</t>
    </rPh>
    <phoneticPr fontId="2"/>
  </si>
  <si>
    <t>果樹</t>
    <rPh sb="0" eb="2">
      <t>カジュ</t>
    </rPh>
    <phoneticPr fontId="2"/>
  </si>
  <si>
    <t>花卉</t>
    <phoneticPr fontId="2"/>
  </si>
  <si>
    <t>加工品</t>
    <rPh sb="0" eb="3">
      <t>カコウヒン</t>
    </rPh>
    <phoneticPr fontId="2"/>
  </si>
  <si>
    <t>その他</t>
    <rPh sb="2" eb="3">
      <t>タ</t>
    </rPh>
    <phoneticPr fontId="2"/>
  </si>
  <si>
    <t>駐車場</t>
    <rPh sb="0" eb="2">
      <t>チュウシャ</t>
    </rPh>
    <rPh sb="2" eb="3">
      <t>ジョウ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</si>
  <si>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</si>
  <si>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</si>
  <si>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開設時期</t>
    <rPh sb="0" eb="2">
      <t>カイセツ</t>
    </rPh>
    <rPh sb="2" eb="4">
      <t>ジキ</t>
    </rPh>
    <phoneticPr fontId="2"/>
  </si>
  <si>
    <t>～1984</t>
    <phoneticPr fontId="2"/>
  </si>
  <si>
    <t>1985～1989</t>
    <phoneticPr fontId="2"/>
  </si>
  <si>
    <t>1990～1994</t>
    <phoneticPr fontId="2"/>
  </si>
  <si>
    <t>1995～1999</t>
    <phoneticPr fontId="2"/>
  </si>
  <si>
    <t>2000～2004</t>
    <phoneticPr fontId="2"/>
  </si>
  <si>
    <t>2005～2009</t>
    <phoneticPr fontId="2"/>
  </si>
  <si>
    <t>2010～2014</t>
    <phoneticPr fontId="2"/>
  </si>
  <si>
    <t>2015～</t>
    <phoneticPr fontId="2"/>
  </si>
  <si>
    <t>大阪
エコ農産物</t>
    <rPh sb="0" eb="2">
      <t>オオサカ</t>
    </rPh>
    <rPh sb="5" eb="8">
      <t>ノウサンブツ</t>
    </rPh>
    <phoneticPr fontId="2"/>
  </si>
  <si>
    <t>有効回答数</t>
    <rPh sb="0" eb="2">
      <t>ユウコウ</t>
    </rPh>
    <rPh sb="2" eb="5">
      <t>カイトウスウ</t>
    </rPh>
    <phoneticPr fontId="2"/>
  </si>
  <si>
    <t>なにわの
伝統野菜</t>
    <rPh sb="5" eb="7">
      <t>デントウ</t>
    </rPh>
    <rPh sb="7" eb="9">
      <t>ヤサイ</t>
    </rPh>
    <phoneticPr fontId="2"/>
  </si>
  <si>
    <t>併設施設</t>
    <rPh sb="0" eb="2">
      <t>ヘイセツ</t>
    </rPh>
    <rPh sb="2" eb="4">
      <t>シセツ</t>
    </rPh>
    <phoneticPr fontId="2"/>
  </si>
  <si>
    <t>売場面積</t>
    <rPh sb="0" eb="2">
      <t>ウリバ</t>
    </rPh>
    <rPh sb="2" eb="4">
      <t>メンセキ</t>
    </rPh>
    <phoneticPr fontId="2"/>
  </si>
  <si>
    <t>～49</t>
    <phoneticPr fontId="2"/>
  </si>
  <si>
    <t>50～99</t>
    <phoneticPr fontId="2"/>
  </si>
  <si>
    <t>100～149</t>
    <phoneticPr fontId="2"/>
  </si>
  <si>
    <t>150～199</t>
    <phoneticPr fontId="2"/>
  </si>
  <si>
    <t>200～299</t>
    <phoneticPr fontId="2"/>
  </si>
  <si>
    <t>300～499</t>
    <phoneticPr fontId="2"/>
  </si>
  <si>
    <t>500～</t>
    <phoneticPr fontId="2"/>
  </si>
  <si>
    <t>出荷者</t>
    <rPh sb="0" eb="2">
      <t>シュッカ</t>
    </rPh>
    <rPh sb="2" eb="3">
      <t>シャ</t>
    </rPh>
    <phoneticPr fontId="2"/>
  </si>
  <si>
    <t>総出荷者数</t>
    <rPh sb="0" eb="1">
      <t>ソウ</t>
    </rPh>
    <rPh sb="1" eb="3">
      <t>シュッカ</t>
    </rPh>
    <rPh sb="3" eb="4">
      <t>シャ</t>
    </rPh>
    <rPh sb="4" eb="5">
      <t>スウ</t>
    </rPh>
    <phoneticPr fontId="2"/>
  </si>
  <si>
    <t>1～2</t>
    <phoneticPr fontId="2"/>
  </si>
  <si>
    <t>3～9</t>
    <phoneticPr fontId="2"/>
  </si>
  <si>
    <t>10～24</t>
    <phoneticPr fontId="2"/>
  </si>
  <si>
    <t>25～49</t>
    <phoneticPr fontId="2"/>
  </si>
  <si>
    <t>100～</t>
    <phoneticPr fontId="2"/>
  </si>
  <si>
    <t>販売額</t>
    <rPh sb="0" eb="2">
      <t>ハンバイ</t>
    </rPh>
    <rPh sb="2" eb="3">
      <t>ガク</t>
    </rPh>
    <phoneticPr fontId="2"/>
  </si>
  <si>
    <t>有効回答</t>
    <rPh sb="0" eb="2">
      <t>ユウコウ</t>
    </rPh>
    <rPh sb="2" eb="4">
      <t>カイトウ</t>
    </rPh>
    <phoneticPr fontId="2"/>
  </si>
  <si>
    <t>～99万円</t>
    <rPh sb="3" eb="5">
      <t>マンエン</t>
    </rPh>
    <phoneticPr fontId="2"/>
  </si>
  <si>
    <t>100万円～</t>
    <rPh sb="3" eb="5">
      <t>マンエン</t>
    </rPh>
    <phoneticPr fontId="2"/>
  </si>
  <si>
    <t>500万円～</t>
    <rPh sb="3" eb="5">
      <t>マンエン</t>
    </rPh>
    <phoneticPr fontId="2"/>
  </si>
  <si>
    <t>1000万円～</t>
    <rPh sb="4" eb="6">
      <t>マンエン</t>
    </rPh>
    <phoneticPr fontId="2"/>
  </si>
  <si>
    <t>2000万円～</t>
    <rPh sb="4" eb="6">
      <t>マンエン</t>
    </rPh>
    <phoneticPr fontId="2"/>
  </si>
  <si>
    <t>5000万円～</t>
    <rPh sb="4" eb="6">
      <t>マンエン</t>
    </rPh>
    <phoneticPr fontId="2"/>
  </si>
  <si>
    <t>1億円～</t>
    <rPh sb="1" eb="3">
      <t>オクエン</t>
    </rPh>
    <phoneticPr fontId="2"/>
  </si>
  <si>
    <t>農薬管理
指導士</t>
    <rPh sb="0" eb="2">
      <t>ノウヤク</t>
    </rPh>
    <rPh sb="2" eb="4">
      <t>カンリ</t>
    </rPh>
    <rPh sb="5" eb="8">
      <t>シドウシ</t>
    </rPh>
    <phoneticPr fontId="2"/>
  </si>
  <si>
    <t>農薬使用
履歴
（記帳）</t>
    <rPh sb="0" eb="2">
      <t>ノウヤク</t>
    </rPh>
    <rPh sb="2" eb="4">
      <t>シヨウ</t>
    </rPh>
    <rPh sb="5" eb="7">
      <t>リレキ</t>
    </rPh>
    <rPh sb="9" eb="11">
      <t>キチョウ</t>
    </rPh>
    <phoneticPr fontId="2"/>
  </si>
  <si>
    <t>農薬使用
履歴
（事前確認）</t>
    <rPh sb="0" eb="2">
      <t>ノウヤク</t>
    </rPh>
    <rPh sb="2" eb="4">
      <t>シヨウ</t>
    </rPh>
    <rPh sb="5" eb="7">
      <t>リレキ</t>
    </rPh>
    <rPh sb="9" eb="11">
      <t>ジゼン</t>
    </rPh>
    <rPh sb="11" eb="13">
      <t>カクニン</t>
    </rPh>
    <phoneticPr fontId="2"/>
  </si>
  <si>
    <t>販売額</t>
    <rPh sb="0" eb="3">
      <t>ハンバイガク</t>
    </rPh>
    <phoneticPr fontId="2"/>
  </si>
  <si>
    <t>売場面積</t>
    <rPh sb="0" eb="1">
      <t>ウ</t>
    </rPh>
    <rPh sb="1" eb="2">
      <t>バ</t>
    </rPh>
    <rPh sb="2" eb="4">
      <t>メンセキ</t>
    </rPh>
    <phoneticPr fontId="2"/>
  </si>
  <si>
    <t>大型合計</t>
    <rPh sb="0" eb="2">
      <t>オオガタ</t>
    </rPh>
    <rPh sb="2" eb="4">
      <t>ゴウケイ</t>
    </rPh>
    <phoneticPr fontId="2"/>
  </si>
  <si>
    <t>大型人数</t>
    <rPh sb="0" eb="2">
      <t>オオガタ</t>
    </rPh>
    <rPh sb="2" eb="4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</si>
</sst>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%"/>
  </numFmts>
  <fonts count="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/>
    <xf numFmtId="9" fontId="0" fillId="0" borderId="0" xfId="1" applyFont="1" applyFill="1"/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9" fontId="0" fillId="0" borderId="3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1" applyNumberFormat="1" applyFont="1" applyFill="1" applyBorder="1" applyAlignment="1">
      <alignment vertical="center"/>
    </xf>
    <xf numFmtId="9" fontId="0" fillId="0" borderId="3" xfId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38" fontId="0" fillId="0" borderId="5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38" fontId="0" fillId="2" borderId="3" xfId="0" applyNumberFormat="1" applyFont="1" applyFill="1" applyBorder="1" applyAlignment="1">
      <alignment vertical="center"/>
    </xf>
    <xf numFmtId="38" fontId="0" fillId="2" borderId="5" xfId="0" applyNumberFormat="1" applyFont="1" applyFill="1" applyBorder="1" applyAlignment="1">
      <alignment horizontal="right" vertical="center"/>
    </xf>
    <xf numFmtId="9" fontId="0" fillId="0" borderId="5" xfId="1" applyNumberFormat="1" applyFont="1" applyFill="1" applyBorder="1" applyAlignment="1">
      <alignment vertical="center"/>
    </xf>
    <xf numFmtId="38" fontId="0" fillId="2" borderId="5" xfId="0" applyNumberFormat="1" applyFont="1" applyFill="1" applyBorder="1" applyAlignment="1">
      <alignment vertical="center"/>
    </xf>
    <xf numFmtId="9" fontId="0" fillId="0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38" fontId="0" fillId="0" borderId="3" xfId="0" applyNumberFormat="1" applyFont="1" applyFill="1" applyBorder="1" applyAlignment="1">
      <alignment vertical="center"/>
    </xf>
    <xf numFmtId="9" fontId="0" fillId="0" borderId="5" xfId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9" fontId="0" fillId="0" borderId="3" xfId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2" borderId="5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3" xfId="1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vertical="center" wrapText="1"/>
    </xf>
    <xf numFmtId="9" fontId="0" fillId="0" borderId="0" xfId="1" applyFont="1" applyFill="1" applyBorder="1" applyAlignment="1">
      <alignment vertical="center" wrapText="1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9" fontId="0" fillId="0" borderId="0" xfId="1" applyFont="1" applyFill="1" applyBorder="1" applyAlignment="1">
      <alignment vertical="center"/>
    </xf>
    <xf numFmtId="9" fontId="0" fillId="0" borderId="0" xfId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200_&#25512;&#36914;&#35506;/0600_&#22320;&#29987;&#22320;&#28040;&#25512;&#36914;&#12464;&#12523;&#12540;&#12503;/0003_&#32076;&#27083;&#65332;/4%20&#30452;&#22770;&#25152;/401%20&#30452;&#22770;&#25152;&#23455;&#24907;&#35519;&#26619;/R2/03%20&#32080;&#26524;/(&#26368;&#32066;)R2&#38598;&#35336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集計"/>
      <sheetName val="R2大型直売所"/>
      <sheetName val="R2北部"/>
      <sheetName val="R2中部"/>
      <sheetName val="R2南河内"/>
      <sheetName val="R2泉州"/>
      <sheetName val="集計A"/>
      <sheetName val="→チェック"/>
      <sheetName val="比較R2-30"/>
    </sheetNames>
    <sheetDataSet>
      <sheetData sheetId="0">
        <row r="18">
          <cell r="D18">
            <v>46</v>
          </cell>
        </row>
        <row r="30">
          <cell r="D30">
            <v>54</v>
          </cell>
        </row>
        <row r="40">
          <cell r="D40">
            <v>17</v>
          </cell>
        </row>
        <row r="52">
          <cell r="D52">
            <v>44</v>
          </cell>
        </row>
      </sheetData>
      <sheetData sheetId="1"/>
      <sheetData sheetId="2">
        <row r="9">
          <cell r="AG9" t="str">
            <v>http://www.city.suita.osaka.jp/home/soshiki/div-toshimiryoku/chiikikeizai/_71574/_71582.html</v>
          </cell>
          <cell r="AH9">
            <v>2015</v>
          </cell>
          <cell r="AJ9">
            <v>100</v>
          </cell>
          <cell r="AK9">
            <v>10</v>
          </cell>
        </row>
        <row r="10">
          <cell r="AG10" t="str">
            <v>http://www.o-forest.org/center.html</v>
          </cell>
          <cell r="AH10" t="str">
            <v>2019
(1998)</v>
          </cell>
          <cell r="AI10">
            <v>30</v>
          </cell>
          <cell r="AJ10">
            <v>270</v>
          </cell>
          <cell r="AK10">
            <v>11</v>
          </cell>
        </row>
        <row r="11">
          <cell r="AH11">
            <v>1998</v>
          </cell>
          <cell r="AI11">
            <v>24</v>
          </cell>
          <cell r="AJ11">
            <v>100</v>
          </cell>
          <cell r="AK11">
            <v>9</v>
          </cell>
        </row>
        <row r="12">
          <cell r="AH12">
            <v>1993</v>
          </cell>
          <cell r="AI12">
            <v>24</v>
          </cell>
          <cell r="AJ12">
            <v>50</v>
          </cell>
          <cell r="AK12">
            <v>4</v>
          </cell>
        </row>
        <row r="13">
          <cell r="AH13">
            <v>1989</v>
          </cell>
          <cell r="AI13">
            <v>20</v>
          </cell>
          <cell r="AJ13">
            <v>120</v>
          </cell>
          <cell r="AK13">
            <v>8</v>
          </cell>
        </row>
        <row r="14">
          <cell r="AH14">
            <v>1983</v>
          </cell>
          <cell r="AI14">
            <v>63</v>
          </cell>
          <cell r="AJ14">
            <v>356</v>
          </cell>
          <cell r="AK14">
            <v>5</v>
          </cell>
        </row>
        <row r="15">
          <cell r="AH15">
            <v>1997</v>
          </cell>
          <cell r="AI15">
            <v>60</v>
          </cell>
          <cell r="AJ15">
            <v>50</v>
          </cell>
          <cell r="AK15">
            <v>5</v>
          </cell>
        </row>
        <row r="16">
          <cell r="AH16">
            <v>2003</v>
          </cell>
          <cell r="AI16">
            <v>50</v>
          </cell>
          <cell r="AJ16">
            <v>50</v>
          </cell>
          <cell r="AK16">
            <v>5</v>
          </cell>
        </row>
        <row r="17">
          <cell r="AH17">
            <v>1989</v>
          </cell>
          <cell r="AI17">
            <v>100</v>
          </cell>
          <cell r="AJ17">
            <v>695</v>
          </cell>
          <cell r="AK17">
            <v>8</v>
          </cell>
        </row>
        <row r="18">
          <cell r="AG18" t="str">
            <v>http://www.ja-takatsuki.or.jp</v>
          </cell>
          <cell r="AH18">
            <v>2014</v>
          </cell>
          <cell r="AI18">
            <v>80</v>
          </cell>
          <cell r="AJ18">
            <v>2356</v>
          </cell>
          <cell r="AK18">
            <v>61</v>
          </cell>
        </row>
        <row r="19">
          <cell r="AG19" t="str">
            <v>http://www.ja-takatsuki.or.jp</v>
          </cell>
          <cell r="AH19">
            <v>2009</v>
          </cell>
          <cell r="AI19">
            <v>122.4</v>
          </cell>
          <cell r="AJ19">
            <v>364</v>
          </cell>
          <cell r="AK19">
            <v>36</v>
          </cell>
        </row>
        <row r="20">
          <cell r="AH20">
            <v>2011</v>
          </cell>
          <cell r="AI20">
            <v>1800</v>
          </cell>
          <cell r="AJ20">
            <v>94</v>
          </cell>
          <cell r="AK20">
            <v>26</v>
          </cell>
        </row>
        <row r="21">
          <cell r="AH21">
            <v>2000</v>
          </cell>
          <cell r="AI21">
            <v>250</v>
          </cell>
          <cell r="AK21">
            <v>23</v>
          </cell>
        </row>
        <row r="22">
          <cell r="AH22">
            <v>1992</v>
          </cell>
          <cell r="AI22">
            <v>500</v>
          </cell>
          <cell r="AK22">
            <v>10</v>
          </cell>
        </row>
        <row r="23">
          <cell r="AG23" t="str">
            <v>http://miyamanosato.org/</v>
          </cell>
          <cell r="AH23">
            <v>2002</v>
          </cell>
          <cell r="AI23">
            <v>86</v>
          </cell>
          <cell r="AJ23">
            <v>6424</v>
          </cell>
          <cell r="AK23">
            <v>221</v>
          </cell>
        </row>
        <row r="24">
          <cell r="AI24">
            <v>30</v>
          </cell>
          <cell r="AK24">
            <v>20</v>
          </cell>
        </row>
        <row r="25">
          <cell r="AH25">
            <v>1989</v>
          </cell>
          <cell r="AI25">
            <v>80</v>
          </cell>
          <cell r="AK25">
            <v>10</v>
          </cell>
        </row>
        <row r="26">
          <cell r="AH26">
            <v>2008</v>
          </cell>
          <cell r="AI26">
            <v>184</v>
          </cell>
          <cell r="AJ26">
            <v>17964</v>
          </cell>
          <cell r="AK26">
            <v>186</v>
          </cell>
        </row>
        <row r="27">
          <cell r="AK27">
            <v>186</v>
          </cell>
        </row>
        <row r="28">
          <cell r="AH28">
            <v>2014</v>
          </cell>
          <cell r="AI28">
            <v>250</v>
          </cell>
          <cell r="AJ28">
            <v>150</v>
          </cell>
          <cell r="AK28">
            <v>10</v>
          </cell>
        </row>
        <row r="29">
          <cell r="AH29">
            <v>2019</v>
          </cell>
          <cell r="AI29">
            <v>250</v>
          </cell>
          <cell r="AJ29" t="str">
            <v>（上記150万円の販売額に含む）</v>
          </cell>
          <cell r="AK29">
            <v>10</v>
          </cell>
        </row>
        <row r="30">
          <cell r="AH30">
            <v>2014</v>
          </cell>
          <cell r="AI30">
            <v>250</v>
          </cell>
          <cell r="AJ30">
            <v>450</v>
          </cell>
          <cell r="AK30">
            <v>10</v>
          </cell>
        </row>
        <row r="31">
          <cell r="AH31">
            <v>2019</v>
          </cell>
          <cell r="AI31">
            <v>250</v>
          </cell>
          <cell r="AJ31" t="str">
            <v>（上記450万円の販売額に含む）</v>
          </cell>
          <cell r="AK31">
            <v>10</v>
          </cell>
        </row>
        <row r="32">
          <cell r="AH32">
            <v>2007</v>
          </cell>
          <cell r="AI32">
            <v>100</v>
          </cell>
          <cell r="AJ32">
            <v>200</v>
          </cell>
          <cell r="AK32">
            <v>35</v>
          </cell>
        </row>
        <row r="33">
          <cell r="AH33">
            <v>2011</v>
          </cell>
          <cell r="AJ33">
            <v>10</v>
          </cell>
          <cell r="AK33">
            <v>35</v>
          </cell>
        </row>
        <row r="34">
          <cell r="AG34" t="str">
            <v>toyoppy.jp</v>
          </cell>
          <cell r="AH34">
            <v>2015</v>
          </cell>
          <cell r="AI34">
            <v>10</v>
          </cell>
          <cell r="AJ34">
            <v>50</v>
          </cell>
          <cell r="AK34">
            <v>7</v>
          </cell>
        </row>
        <row r="35">
          <cell r="AH35">
            <v>2010</v>
          </cell>
          <cell r="AI35">
            <v>18</v>
          </cell>
        </row>
        <row r="36">
          <cell r="AH36">
            <v>2006</v>
          </cell>
          <cell r="AI36">
            <v>180</v>
          </cell>
          <cell r="AJ36">
            <v>100</v>
          </cell>
          <cell r="AK36">
            <v>15</v>
          </cell>
        </row>
        <row r="37">
          <cell r="AH37">
            <v>2018</v>
          </cell>
          <cell r="AI37">
            <v>50</v>
          </cell>
          <cell r="AJ37">
            <v>100</v>
          </cell>
          <cell r="AK37">
            <v>15</v>
          </cell>
        </row>
        <row r="38">
          <cell r="AH38">
            <v>2019</v>
          </cell>
          <cell r="AI38">
            <v>50</v>
          </cell>
          <cell r="AJ38">
            <v>5</v>
          </cell>
          <cell r="AK38">
            <v>13</v>
          </cell>
        </row>
        <row r="39">
          <cell r="AG39" t="str">
            <v>http://www.eonet.ne.jp/~midorinosato/</v>
          </cell>
          <cell r="AH39">
            <v>2008</v>
          </cell>
          <cell r="AI39">
            <v>330</v>
          </cell>
          <cell r="AJ39">
            <v>480</v>
          </cell>
          <cell r="AK39">
            <v>17</v>
          </cell>
        </row>
        <row r="40">
          <cell r="AH40">
            <v>2009</v>
          </cell>
          <cell r="AI40">
            <v>62</v>
          </cell>
          <cell r="AJ40">
            <v>620</v>
          </cell>
          <cell r="AK40">
            <v>20</v>
          </cell>
        </row>
        <row r="41">
          <cell r="AH41">
            <v>2007</v>
          </cell>
          <cell r="AI41">
            <v>100</v>
          </cell>
          <cell r="AJ41">
            <v>587</v>
          </cell>
          <cell r="AK41">
            <v>19</v>
          </cell>
        </row>
        <row r="42">
          <cell r="AH42">
            <v>1996</v>
          </cell>
          <cell r="AI42">
            <v>30</v>
          </cell>
          <cell r="AJ42" t="str">
            <v>日割りなので、計算していない</v>
          </cell>
          <cell r="AK42">
            <v>8</v>
          </cell>
        </row>
        <row r="43">
          <cell r="AH43">
            <v>2006</v>
          </cell>
          <cell r="AI43">
            <v>43</v>
          </cell>
          <cell r="AJ43">
            <v>706</v>
          </cell>
          <cell r="AK43">
            <v>22</v>
          </cell>
        </row>
        <row r="44">
          <cell r="AH44">
            <v>2010</v>
          </cell>
          <cell r="AI44">
            <v>264.95</v>
          </cell>
          <cell r="AJ44">
            <v>15525</v>
          </cell>
          <cell r="AK44">
            <v>210</v>
          </cell>
        </row>
        <row r="45">
          <cell r="AH45">
            <v>2001</v>
          </cell>
          <cell r="AI45">
            <v>50</v>
          </cell>
          <cell r="AK45">
            <v>8</v>
          </cell>
        </row>
        <row r="46">
          <cell r="AH46">
            <v>2014</v>
          </cell>
          <cell r="AI46">
            <v>20</v>
          </cell>
          <cell r="AK46">
            <v>10</v>
          </cell>
        </row>
        <row r="47">
          <cell r="AH47">
            <v>2017</v>
          </cell>
          <cell r="AI47">
            <v>20</v>
          </cell>
          <cell r="AK47">
            <v>10</v>
          </cell>
        </row>
        <row r="48">
          <cell r="AH48">
            <v>2016</v>
          </cell>
          <cell r="AI48">
            <v>100</v>
          </cell>
          <cell r="AJ48">
            <v>1000</v>
          </cell>
          <cell r="AK48">
            <v>90</v>
          </cell>
        </row>
        <row r="49">
          <cell r="AH49">
            <v>2011</v>
          </cell>
          <cell r="AI49">
            <v>200</v>
          </cell>
          <cell r="AK49">
            <v>98</v>
          </cell>
        </row>
        <row r="50">
          <cell r="AH50">
            <v>2004</v>
          </cell>
          <cell r="AI50">
            <v>30</v>
          </cell>
          <cell r="AJ50">
            <v>275</v>
          </cell>
          <cell r="AK50">
            <v>6</v>
          </cell>
        </row>
        <row r="51">
          <cell r="AG51" t="str">
            <v>http://www.town-of-nose.jp/</v>
          </cell>
          <cell r="AH51">
            <v>2000</v>
          </cell>
          <cell r="AI51">
            <v>250</v>
          </cell>
          <cell r="AJ51">
            <v>28495</v>
          </cell>
          <cell r="AK51">
            <v>309</v>
          </cell>
        </row>
        <row r="52">
          <cell r="AH52">
            <v>1987</v>
          </cell>
          <cell r="AI52">
            <v>3</v>
          </cell>
          <cell r="AJ52">
            <v>50</v>
          </cell>
          <cell r="AK52">
            <v>6</v>
          </cell>
        </row>
        <row r="53">
          <cell r="AG53" t="str">
            <v>http://www.noseyasai.sakura.ne.jp/</v>
          </cell>
          <cell r="AH53">
            <v>2005</v>
          </cell>
          <cell r="AI53">
            <v>20</v>
          </cell>
          <cell r="AJ53">
            <v>1700</v>
          </cell>
          <cell r="AK53">
            <v>10</v>
          </cell>
        </row>
        <row r="54">
          <cell r="AH54">
            <v>2007</v>
          </cell>
          <cell r="AI54">
            <v>80</v>
          </cell>
          <cell r="AJ54">
            <v>660</v>
          </cell>
          <cell r="AK54">
            <v>20</v>
          </cell>
        </row>
        <row r="55">
          <cell r="AH55">
            <v>1998</v>
          </cell>
          <cell r="AI55">
            <v>70</v>
          </cell>
        </row>
        <row r="56">
          <cell r="Q56">
            <v>18</v>
          </cell>
          <cell r="S56">
            <v>21</v>
          </cell>
          <cell r="T56">
            <v>10</v>
          </cell>
          <cell r="V56">
            <v>28</v>
          </cell>
          <cell r="Y56">
            <v>10</v>
          </cell>
          <cell r="Z56">
            <v>8</v>
          </cell>
          <cell r="AB56">
            <v>25</v>
          </cell>
          <cell r="AK56">
            <v>1867</v>
          </cell>
        </row>
        <row r="87">
          <cell r="F87">
            <v>10</v>
          </cell>
          <cell r="G87">
            <v>13</v>
          </cell>
          <cell r="H87">
            <v>11</v>
          </cell>
          <cell r="I87">
            <v>11</v>
          </cell>
          <cell r="K87">
            <v>34</v>
          </cell>
          <cell r="L87">
            <v>46</v>
          </cell>
          <cell r="M87">
            <v>40</v>
          </cell>
          <cell r="N87">
            <v>38</v>
          </cell>
          <cell r="O87">
            <v>23</v>
          </cell>
          <cell r="P87">
            <v>14</v>
          </cell>
          <cell r="W87">
            <v>36</v>
          </cell>
          <cell r="AI87">
            <v>6334.3499999999995</v>
          </cell>
          <cell r="AJ87">
            <v>80156</v>
          </cell>
          <cell r="AL87">
            <v>13</v>
          </cell>
          <cell r="AM87">
            <v>21</v>
          </cell>
          <cell r="AN87">
            <v>20</v>
          </cell>
          <cell r="AO87">
            <v>15</v>
          </cell>
          <cell r="AP87">
            <v>16</v>
          </cell>
          <cell r="AQ87">
            <v>19</v>
          </cell>
        </row>
        <row r="88">
          <cell r="AJ88">
            <v>68408</v>
          </cell>
          <cell r="AK88">
            <v>926</v>
          </cell>
        </row>
      </sheetData>
      <sheetData sheetId="3">
        <row r="9">
          <cell r="AH9">
            <v>1990</v>
          </cell>
          <cell r="AI9">
            <v>33</v>
          </cell>
          <cell r="AJ9">
            <v>26</v>
          </cell>
        </row>
        <row r="10">
          <cell r="AH10">
            <v>2017</v>
          </cell>
          <cell r="AI10">
            <v>90</v>
          </cell>
          <cell r="AJ10">
            <v>7024</v>
          </cell>
          <cell r="AK10">
            <v>134</v>
          </cell>
        </row>
        <row r="11">
          <cell r="AH11">
            <v>2019</v>
          </cell>
          <cell r="AJ11">
            <v>413</v>
          </cell>
          <cell r="AK11">
            <v>20</v>
          </cell>
        </row>
        <row r="12">
          <cell r="AH12">
            <v>2018</v>
          </cell>
          <cell r="AI12">
            <v>16</v>
          </cell>
          <cell r="AK12">
            <v>40</v>
          </cell>
        </row>
        <row r="13">
          <cell r="AH13">
            <v>2014</v>
          </cell>
          <cell r="AI13">
            <v>27</v>
          </cell>
          <cell r="AJ13">
            <v>2000</v>
          </cell>
          <cell r="AK13">
            <v>28</v>
          </cell>
        </row>
        <row r="14">
          <cell r="AH14">
            <v>2008</v>
          </cell>
          <cell r="AI14">
            <v>15</v>
          </cell>
          <cell r="AJ14">
            <v>200</v>
          </cell>
          <cell r="AK14">
            <v>15</v>
          </cell>
        </row>
        <row r="15">
          <cell r="AH15">
            <v>2007</v>
          </cell>
          <cell r="AI15">
            <v>15</v>
          </cell>
          <cell r="AJ15">
            <v>250</v>
          </cell>
          <cell r="AK15">
            <v>6</v>
          </cell>
        </row>
        <row r="16">
          <cell r="AH16">
            <v>2007</v>
          </cell>
          <cell r="AI16">
            <v>15</v>
          </cell>
          <cell r="AJ16">
            <v>180</v>
          </cell>
          <cell r="AK16">
            <v>4</v>
          </cell>
        </row>
        <row r="17">
          <cell r="AH17">
            <v>2011</v>
          </cell>
          <cell r="AI17">
            <v>10</v>
          </cell>
          <cell r="AJ17">
            <v>50</v>
          </cell>
          <cell r="AK17">
            <v>3</v>
          </cell>
        </row>
        <row r="18">
          <cell r="AH18">
            <v>1995</v>
          </cell>
          <cell r="AI18">
            <v>160</v>
          </cell>
          <cell r="AJ18">
            <v>225</v>
          </cell>
          <cell r="AK18">
            <v>14</v>
          </cell>
        </row>
        <row r="19">
          <cell r="AH19">
            <v>1977</v>
          </cell>
          <cell r="AI19">
            <v>20</v>
          </cell>
          <cell r="AJ19">
            <v>143</v>
          </cell>
          <cell r="AK19">
            <v>5</v>
          </cell>
        </row>
        <row r="20">
          <cell r="AH20">
            <v>2001</v>
          </cell>
          <cell r="AI20">
            <v>24</v>
          </cell>
          <cell r="AJ20">
            <v>193</v>
          </cell>
          <cell r="AK20">
            <v>14</v>
          </cell>
        </row>
        <row r="21">
          <cell r="AH21">
            <v>2002</v>
          </cell>
          <cell r="AI21">
            <v>80</v>
          </cell>
          <cell r="AJ21">
            <v>3600</v>
          </cell>
          <cell r="AK21">
            <v>70</v>
          </cell>
        </row>
        <row r="22">
          <cell r="AH22">
            <v>2013</v>
          </cell>
          <cell r="AI22">
            <v>24</v>
          </cell>
          <cell r="AJ22">
            <v>193</v>
          </cell>
          <cell r="AK22">
            <v>11</v>
          </cell>
        </row>
        <row r="23">
          <cell r="AH23">
            <v>2009</v>
          </cell>
          <cell r="AI23">
            <v>64</v>
          </cell>
          <cell r="AJ23">
            <v>45</v>
          </cell>
          <cell r="AK23">
            <v>7</v>
          </cell>
        </row>
        <row r="24">
          <cell r="AH24">
            <v>1978</v>
          </cell>
          <cell r="AI24">
            <v>20</v>
          </cell>
          <cell r="AJ24">
            <v>32</v>
          </cell>
          <cell r="AK24">
            <v>7</v>
          </cell>
        </row>
        <row r="25">
          <cell r="AH25">
            <v>2002</v>
          </cell>
          <cell r="AI25">
            <v>60</v>
          </cell>
          <cell r="AJ25">
            <v>1952</v>
          </cell>
          <cell r="AK25">
            <v>48</v>
          </cell>
        </row>
        <row r="26">
          <cell r="AH26">
            <v>1995</v>
          </cell>
          <cell r="AI26">
            <v>5</v>
          </cell>
          <cell r="AJ26">
            <v>15</v>
          </cell>
          <cell r="AK26">
            <v>2</v>
          </cell>
        </row>
        <row r="27">
          <cell r="AH27">
            <v>2008</v>
          </cell>
          <cell r="AI27">
            <v>230</v>
          </cell>
          <cell r="AJ27">
            <v>13427</v>
          </cell>
          <cell r="AK27">
            <v>377</v>
          </cell>
        </row>
        <row r="28">
          <cell r="AH28">
            <v>2018</v>
          </cell>
          <cell r="AI28">
            <v>53</v>
          </cell>
          <cell r="AJ28">
            <v>2280</v>
          </cell>
          <cell r="AK28">
            <v>370</v>
          </cell>
        </row>
        <row r="29">
          <cell r="AH29">
            <v>2016</v>
          </cell>
          <cell r="AI29">
            <v>16</v>
          </cell>
          <cell r="AJ29">
            <v>200</v>
          </cell>
          <cell r="AK29">
            <v>2</v>
          </cell>
        </row>
        <row r="30">
          <cell r="AH30">
            <v>1967</v>
          </cell>
          <cell r="AI30">
            <v>30</v>
          </cell>
          <cell r="AJ30">
            <v>1000</v>
          </cell>
          <cell r="AK30">
            <v>4</v>
          </cell>
        </row>
        <row r="31">
          <cell r="AH31">
            <v>2005</v>
          </cell>
          <cell r="AI31">
            <v>10</v>
          </cell>
          <cell r="AJ31">
            <v>400</v>
          </cell>
          <cell r="AK31">
            <v>1</v>
          </cell>
        </row>
        <row r="32">
          <cell r="AH32">
            <v>2004</v>
          </cell>
          <cell r="AI32">
            <v>25</v>
          </cell>
          <cell r="AJ32">
            <v>15</v>
          </cell>
          <cell r="AK32">
            <v>1</v>
          </cell>
        </row>
        <row r="33">
          <cell r="AH33">
            <v>2020</v>
          </cell>
          <cell r="AI33">
            <v>5</v>
          </cell>
          <cell r="AK33">
            <v>1</v>
          </cell>
        </row>
        <row r="34">
          <cell r="AH34">
            <v>2012</v>
          </cell>
          <cell r="AI34">
            <v>53</v>
          </cell>
          <cell r="AJ34">
            <v>4170</v>
          </cell>
          <cell r="AK34">
            <v>40</v>
          </cell>
        </row>
        <row r="35">
          <cell r="AH35">
            <v>2006</v>
          </cell>
          <cell r="AI35">
            <v>120</v>
          </cell>
          <cell r="AJ35">
            <v>25823</v>
          </cell>
          <cell r="AK35">
            <v>151</v>
          </cell>
        </row>
        <row r="36">
          <cell r="AH36">
            <v>2008</v>
          </cell>
          <cell r="AI36">
            <v>158</v>
          </cell>
        </row>
        <row r="37">
          <cell r="AH37">
            <v>1991</v>
          </cell>
          <cell r="AI37">
            <v>64</v>
          </cell>
        </row>
        <row r="38">
          <cell r="AH38">
            <v>1995</v>
          </cell>
          <cell r="AI38">
            <v>20</v>
          </cell>
          <cell r="AJ38">
            <v>572</v>
          </cell>
          <cell r="AK38">
            <v>36</v>
          </cell>
        </row>
        <row r="39">
          <cell r="AH39">
            <v>2004</v>
          </cell>
          <cell r="AI39">
            <v>3</v>
          </cell>
        </row>
        <row r="40">
          <cell r="AH40">
            <v>1991</v>
          </cell>
          <cell r="AI40">
            <v>30</v>
          </cell>
          <cell r="AJ40">
            <v>1102</v>
          </cell>
          <cell r="AK40">
            <v>27</v>
          </cell>
        </row>
        <row r="41">
          <cell r="AH41">
            <v>2002</v>
          </cell>
          <cell r="AI41">
            <v>17</v>
          </cell>
          <cell r="AJ41">
            <v>621</v>
          </cell>
          <cell r="AK41">
            <v>33</v>
          </cell>
        </row>
        <row r="42">
          <cell r="AH42">
            <v>2003</v>
          </cell>
          <cell r="AI42">
            <v>15</v>
          </cell>
          <cell r="AJ42">
            <v>296</v>
          </cell>
          <cell r="AK42">
            <v>20</v>
          </cell>
        </row>
        <row r="43">
          <cell r="AH43">
            <v>2003</v>
          </cell>
          <cell r="AI43">
            <v>20</v>
          </cell>
        </row>
        <row r="44">
          <cell r="AH44">
            <v>2003</v>
          </cell>
          <cell r="AI44">
            <v>5</v>
          </cell>
        </row>
        <row r="45">
          <cell r="AH45">
            <v>2013</v>
          </cell>
          <cell r="AI45">
            <v>75</v>
          </cell>
          <cell r="AJ45">
            <v>2450</v>
          </cell>
          <cell r="AK45">
            <v>50</v>
          </cell>
        </row>
        <row r="46">
          <cell r="AH46">
            <v>1997</v>
          </cell>
          <cell r="AI46">
            <v>50</v>
          </cell>
          <cell r="AJ46">
            <v>290</v>
          </cell>
          <cell r="AK46">
            <v>5</v>
          </cell>
        </row>
        <row r="47">
          <cell r="AH47">
            <v>1978</v>
          </cell>
          <cell r="AI47">
            <v>25</v>
          </cell>
          <cell r="AJ47">
            <v>548</v>
          </cell>
          <cell r="AK47">
            <v>18</v>
          </cell>
        </row>
        <row r="48">
          <cell r="AH48">
            <v>1984</v>
          </cell>
          <cell r="AI48">
            <v>80</v>
          </cell>
          <cell r="AJ48">
            <v>422</v>
          </cell>
          <cell r="AK48">
            <v>23</v>
          </cell>
        </row>
        <row r="49">
          <cell r="AH49">
            <v>1980</v>
          </cell>
          <cell r="AI49">
            <v>20</v>
          </cell>
          <cell r="AJ49">
            <v>200</v>
          </cell>
          <cell r="AK49">
            <v>12</v>
          </cell>
        </row>
        <row r="50">
          <cell r="AH50">
            <v>2010</v>
          </cell>
          <cell r="AI50">
            <v>70</v>
          </cell>
          <cell r="AJ50">
            <v>151</v>
          </cell>
          <cell r="AK50">
            <v>11</v>
          </cell>
        </row>
        <row r="51">
          <cell r="AH51">
            <v>1994</v>
          </cell>
          <cell r="AI51">
            <v>150</v>
          </cell>
          <cell r="AJ51">
            <v>100</v>
          </cell>
          <cell r="AK51">
            <v>4</v>
          </cell>
        </row>
        <row r="52">
          <cell r="AH52">
            <v>2013</v>
          </cell>
          <cell r="AI52">
            <v>50</v>
          </cell>
          <cell r="AJ52">
            <v>1400</v>
          </cell>
        </row>
        <row r="53">
          <cell r="AH53">
            <v>2013</v>
          </cell>
          <cell r="AJ53">
            <v>374</v>
          </cell>
          <cell r="AK53">
            <v>1</v>
          </cell>
        </row>
        <row r="54">
          <cell r="AH54">
            <v>2017</v>
          </cell>
          <cell r="AI54">
            <v>70</v>
          </cell>
          <cell r="AJ54">
            <v>1128</v>
          </cell>
          <cell r="AK54">
            <v>27</v>
          </cell>
        </row>
        <row r="55">
          <cell r="AH55">
            <v>1993</v>
          </cell>
          <cell r="AI55">
            <v>8</v>
          </cell>
          <cell r="AK55">
            <v>7</v>
          </cell>
        </row>
        <row r="56">
          <cell r="AH56">
            <v>1993</v>
          </cell>
          <cell r="AI56">
            <v>8</v>
          </cell>
        </row>
        <row r="58">
          <cell r="AH58">
            <v>2018</v>
          </cell>
          <cell r="AI58">
            <v>10</v>
          </cell>
          <cell r="AK58">
            <v>10</v>
          </cell>
        </row>
        <row r="59">
          <cell r="AH59">
            <v>2018</v>
          </cell>
          <cell r="AI59">
            <v>10</v>
          </cell>
          <cell r="AK59">
            <v>10</v>
          </cell>
        </row>
        <row r="60">
          <cell r="AG60">
            <v>9</v>
          </cell>
          <cell r="AI60">
            <v>2178</v>
          </cell>
          <cell r="AJ60">
            <v>73510</v>
          </cell>
          <cell r="AK60">
            <v>1669</v>
          </cell>
          <cell r="AL60">
            <v>14</v>
          </cell>
          <cell r="AM60">
            <v>17</v>
          </cell>
          <cell r="AN60">
            <v>26</v>
          </cell>
          <cell r="AO60">
            <v>4</v>
          </cell>
          <cell r="AP60">
            <v>21</v>
          </cell>
          <cell r="AQ60">
            <v>10</v>
          </cell>
        </row>
        <row r="61">
          <cell r="AJ61">
            <v>46274</v>
          </cell>
        </row>
        <row r="63">
          <cell r="AH63" t="str">
            <v>開設
時期
（年）</v>
          </cell>
        </row>
        <row r="66">
          <cell r="AH66">
            <v>1967</v>
          </cell>
        </row>
        <row r="67">
          <cell r="AH67">
            <v>2014</v>
          </cell>
        </row>
        <row r="68">
          <cell r="AI68">
            <v>40</v>
          </cell>
          <cell r="AJ68">
            <v>157</v>
          </cell>
        </row>
        <row r="72">
          <cell r="AH72" t="str">
            <v>開設
時期
（年）</v>
          </cell>
        </row>
        <row r="80">
          <cell r="AH80" t="str">
            <v>開設
時期
（年）</v>
          </cell>
        </row>
        <row r="86">
          <cell r="F86">
            <v>4</v>
          </cell>
          <cell r="G86">
            <v>13</v>
          </cell>
          <cell r="H86">
            <v>7</v>
          </cell>
          <cell r="I86">
            <v>30</v>
          </cell>
          <cell r="K86">
            <v>29</v>
          </cell>
          <cell r="L86">
            <v>52</v>
          </cell>
          <cell r="M86">
            <v>38</v>
          </cell>
          <cell r="N86">
            <v>34</v>
          </cell>
          <cell r="O86">
            <v>27</v>
          </cell>
          <cell r="P86">
            <v>7</v>
          </cell>
          <cell r="Q86">
            <v>34</v>
          </cell>
          <cell r="S86">
            <v>14</v>
          </cell>
          <cell r="T86">
            <v>7</v>
          </cell>
          <cell r="V86">
            <v>28</v>
          </cell>
          <cell r="W86">
            <v>39</v>
          </cell>
          <cell r="Y86">
            <v>15</v>
          </cell>
          <cell r="Z86">
            <v>1</v>
          </cell>
          <cell r="AB86">
            <v>28</v>
          </cell>
        </row>
      </sheetData>
      <sheetData sheetId="4">
        <row r="9">
          <cell r="AH9">
            <v>1993</v>
          </cell>
          <cell r="AI9">
            <v>115</v>
          </cell>
          <cell r="AJ9">
            <v>12250</v>
          </cell>
          <cell r="AK9">
            <v>151</v>
          </cell>
        </row>
        <row r="10">
          <cell r="AH10">
            <v>1993</v>
          </cell>
          <cell r="AI10">
            <v>50</v>
          </cell>
          <cell r="AK10">
            <v>1</v>
          </cell>
        </row>
        <row r="11">
          <cell r="AH11">
            <v>2003</v>
          </cell>
          <cell r="AI11">
            <v>50</v>
          </cell>
          <cell r="AJ11">
            <v>300</v>
          </cell>
          <cell r="AK11">
            <v>10</v>
          </cell>
        </row>
        <row r="12">
          <cell r="AH12">
            <v>2005</v>
          </cell>
          <cell r="AI12">
            <v>100</v>
          </cell>
          <cell r="AJ12">
            <v>9477</v>
          </cell>
          <cell r="AK12">
            <v>110</v>
          </cell>
        </row>
        <row r="13">
          <cell r="AH13">
            <v>2005</v>
          </cell>
          <cell r="AI13">
            <v>72</v>
          </cell>
          <cell r="AJ13">
            <v>2997</v>
          </cell>
          <cell r="AK13">
            <v>80</v>
          </cell>
        </row>
        <row r="14">
          <cell r="AH14">
            <v>2014</v>
          </cell>
          <cell r="AI14">
            <v>642</v>
          </cell>
          <cell r="AJ14">
            <v>69878</v>
          </cell>
          <cell r="AK14">
            <v>678</v>
          </cell>
        </row>
        <row r="15">
          <cell r="AH15">
            <v>2007</v>
          </cell>
          <cell r="AI15">
            <v>100</v>
          </cell>
          <cell r="AJ15">
            <v>2293</v>
          </cell>
          <cell r="AK15">
            <v>70</v>
          </cell>
        </row>
        <row r="16">
          <cell r="AH16">
            <v>2014</v>
          </cell>
          <cell r="AI16">
            <v>70</v>
          </cell>
          <cell r="AJ16">
            <v>1527</v>
          </cell>
          <cell r="AK16">
            <v>70</v>
          </cell>
        </row>
        <row r="17">
          <cell r="AH17">
            <v>2004</v>
          </cell>
          <cell r="AI17">
            <v>165</v>
          </cell>
          <cell r="AJ17">
            <v>250</v>
          </cell>
          <cell r="AK17">
            <v>7</v>
          </cell>
        </row>
        <row r="18">
          <cell r="AH18">
            <v>2007</v>
          </cell>
          <cell r="AI18">
            <v>725.62</v>
          </cell>
          <cell r="AJ18">
            <v>101548</v>
          </cell>
          <cell r="AK18">
            <v>921</v>
          </cell>
        </row>
        <row r="19">
          <cell r="AH19">
            <v>2005</v>
          </cell>
          <cell r="AI19">
            <v>100</v>
          </cell>
          <cell r="AJ19">
            <v>500</v>
          </cell>
          <cell r="AK19">
            <v>20</v>
          </cell>
        </row>
        <row r="20">
          <cell r="AH20">
            <v>1997</v>
          </cell>
          <cell r="AI20">
            <v>135</v>
          </cell>
          <cell r="AJ20">
            <v>4990</v>
          </cell>
          <cell r="AK20">
            <v>57</v>
          </cell>
        </row>
        <row r="21">
          <cell r="AH21">
            <v>2019</v>
          </cell>
          <cell r="AI21">
            <v>40</v>
          </cell>
          <cell r="AJ21">
            <v>400</v>
          </cell>
          <cell r="AK21">
            <v>50</v>
          </cell>
        </row>
        <row r="22">
          <cell r="AH22">
            <v>2004</v>
          </cell>
          <cell r="AI22">
            <v>72</v>
          </cell>
          <cell r="AJ22">
            <v>28170</v>
          </cell>
          <cell r="AK22">
            <v>122</v>
          </cell>
        </row>
        <row r="23">
          <cell r="AH23">
            <v>1990</v>
          </cell>
          <cell r="AI23">
            <v>66</v>
          </cell>
          <cell r="AJ23">
            <v>948</v>
          </cell>
          <cell r="AK23">
            <v>15</v>
          </cell>
        </row>
        <row r="29">
          <cell r="AH29" t="str">
            <v>開設
時期
（年）</v>
          </cell>
        </row>
        <row r="32">
          <cell r="AH32">
            <v>1983</v>
          </cell>
        </row>
        <row r="62">
          <cell r="F62">
            <v>0</v>
          </cell>
          <cell r="G62">
            <v>2</v>
          </cell>
          <cell r="H62">
            <v>2</v>
          </cell>
          <cell r="I62">
            <v>12</v>
          </cell>
          <cell r="K62">
            <v>16</v>
          </cell>
          <cell r="L62">
            <v>16</v>
          </cell>
          <cell r="M62">
            <v>17</v>
          </cell>
          <cell r="N62">
            <v>13</v>
          </cell>
          <cell r="O62">
            <v>15</v>
          </cell>
          <cell r="P62">
            <v>11</v>
          </cell>
          <cell r="Q62">
            <v>14</v>
          </cell>
          <cell r="S62">
            <v>3</v>
          </cell>
          <cell r="T62">
            <v>8</v>
          </cell>
          <cell r="V62">
            <v>9</v>
          </cell>
          <cell r="W62">
            <v>16</v>
          </cell>
          <cell r="Y62">
            <v>1</v>
          </cell>
          <cell r="Z62">
            <v>7</v>
          </cell>
          <cell r="AB62">
            <v>10</v>
          </cell>
          <cell r="AG62">
            <v>11</v>
          </cell>
          <cell r="AI62">
            <v>2652.62</v>
          </cell>
          <cell r="AJ62">
            <v>235565</v>
          </cell>
          <cell r="AK62">
            <v>2379</v>
          </cell>
          <cell r="AL62">
            <v>12</v>
          </cell>
          <cell r="AM62">
            <v>5</v>
          </cell>
          <cell r="AN62">
            <v>12</v>
          </cell>
          <cell r="AO62">
            <v>5</v>
          </cell>
          <cell r="AP62">
            <v>9</v>
          </cell>
          <cell r="AQ62">
            <v>7</v>
          </cell>
        </row>
        <row r="63">
          <cell r="AJ63">
            <v>221323</v>
          </cell>
          <cell r="AK63">
            <v>1982</v>
          </cell>
        </row>
      </sheetData>
      <sheetData sheetId="5">
        <row r="9">
          <cell r="AH9">
            <v>2000</v>
          </cell>
          <cell r="AI9">
            <v>831</v>
          </cell>
          <cell r="AJ9">
            <v>36620</v>
          </cell>
          <cell r="AK9">
            <v>836</v>
          </cell>
        </row>
        <row r="10">
          <cell r="AH10">
            <v>1998</v>
          </cell>
          <cell r="AI10">
            <v>135</v>
          </cell>
          <cell r="AJ10">
            <v>5980</v>
          </cell>
          <cell r="AK10">
            <v>104</v>
          </cell>
        </row>
        <row r="11">
          <cell r="AH11">
            <v>1999</v>
          </cell>
          <cell r="AI11">
            <v>15</v>
          </cell>
          <cell r="AJ11" t="str">
            <v>不明</v>
          </cell>
          <cell r="AK11">
            <v>20</v>
          </cell>
        </row>
        <row r="12">
          <cell r="AH12">
            <v>1994</v>
          </cell>
          <cell r="AI12">
            <v>30</v>
          </cell>
          <cell r="AJ12" t="str">
            <v>不明</v>
          </cell>
          <cell r="AK12">
            <v>4</v>
          </cell>
        </row>
        <row r="13">
          <cell r="AH13">
            <v>2015</v>
          </cell>
          <cell r="AI13">
            <v>100</v>
          </cell>
          <cell r="AJ13" t="str">
            <v>不明</v>
          </cell>
          <cell r="AK13">
            <v>5</v>
          </cell>
        </row>
        <row r="14">
          <cell r="AH14">
            <v>2015</v>
          </cell>
          <cell r="AI14">
            <v>30</v>
          </cell>
          <cell r="AJ14" t="str">
            <v>不明</v>
          </cell>
          <cell r="AK14">
            <v>5</v>
          </cell>
        </row>
        <row r="15">
          <cell r="AH15">
            <v>2011</v>
          </cell>
          <cell r="AJ15" t="str">
            <v>不明</v>
          </cell>
          <cell r="AK15">
            <v>18</v>
          </cell>
        </row>
        <row r="16">
          <cell r="AH16">
            <v>2014</v>
          </cell>
          <cell r="AI16">
            <v>50</v>
          </cell>
          <cell r="AJ16" t="str">
            <v>不明</v>
          </cell>
          <cell r="AK16">
            <v>3</v>
          </cell>
        </row>
        <row r="17">
          <cell r="AH17">
            <v>2010</v>
          </cell>
          <cell r="AI17">
            <v>106.4</v>
          </cell>
          <cell r="AJ17" t="str">
            <v>不明</v>
          </cell>
          <cell r="AK17">
            <v>20</v>
          </cell>
        </row>
        <row r="18">
          <cell r="AK18">
            <v>1</v>
          </cell>
        </row>
        <row r="19">
          <cell r="AK19">
            <v>1</v>
          </cell>
        </row>
        <row r="20">
          <cell r="AK20">
            <v>1</v>
          </cell>
        </row>
        <row r="21">
          <cell r="AK21">
            <v>1</v>
          </cell>
        </row>
        <row r="22">
          <cell r="AK22">
            <v>1</v>
          </cell>
        </row>
        <row r="23">
          <cell r="AK23">
            <v>1</v>
          </cell>
        </row>
        <row r="24">
          <cell r="AH24">
            <v>2018</v>
          </cell>
          <cell r="AK24">
            <v>48</v>
          </cell>
        </row>
        <row r="25">
          <cell r="AH25">
            <v>2017</v>
          </cell>
          <cell r="AK25">
            <v>17</v>
          </cell>
        </row>
        <row r="26">
          <cell r="AK26">
            <v>1</v>
          </cell>
        </row>
        <row r="27">
          <cell r="AH27">
            <v>1999</v>
          </cell>
          <cell r="AI27">
            <v>100</v>
          </cell>
          <cell r="AJ27">
            <v>526</v>
          </cell>
          <cell r="AK27">
            <v>16</v>
          </cell>
        </row>
        <row r="28">
          <cell r="AH28">
            <v>2007</v>
          </cell>
          <cell r="AI28">
            <v>298</v>
          </cell>
          <cell r="AJ28">
            <v>145470</v>
          </cell>
          <cell r="AK28">
            <v>772</v>
          </cell>
        </row>
        <row r="29">
          <cell r="AH29">
            <v>2008</v>
          </cell>
          <cell r="AI29">
            <v>330</v>
          </cell>
          <cell r="AJ29">
            <v>12448</v>
          </cell>
          <cell r="AK29">
            <v>206</v>
          </cell>
        </row>
        <row r="30">
          <cell r="AH30">
            <v>1996</v>
          </cell>
          <cell r="AI30">
            <v>50</v>
          </cell>
          <cell r="AJ30">
            <v>350</v>
          </cell>
          <cell r="AK30">
            <v>20</v>
          </cell>
        </row>
        <row r="31">
          <cell r="AH31">
            <v>1997</v>
          </cell>
          <cell r="AI31">
            <v>10</v>
          </cell>
          <cell r="AJ31">
            <v>10</v>
          </cell>
          <cell r="AK31">
            <v>1</v>
          </cell>
        </row>
        <row r="32">
          <cell r="AH32">
            <v>2011</v>
          </cell>
          <cell r="AI32">
            <v>2480</v>
          </cell>
          <cell r="AJ32">
            <v>132453</v>
          </cell>
          <cell r="AK32">
            <v>1172</v>
          </cell>
        </row>
        <row r="33">
          <cell r="AH33">
            <v>2008</v>
          </cell>
          <cell r="AI33">
            <v>50</v>
          </cell>
          <cell r="AJ33">
            <v>80</v>
          </cell>
          <cell r="AK33">
            <v>24</v>
          </cell>
        </row>
        <row r="34">
          <cell r="AH34">
            <v>2000</v>
          </cell>
          <cell r="AI34">
            <v>800</v>
          </cell>
          <cell r="AJ34">
            <v>90</v>
          </cell>
          <cell r="AK34">
            <v>10</v>
          </cell>
        </row>
        <row r="35">
          <cell r="AH35">
            <v>2003</v>
          </cell>
          <cell r="AI35">
            <v>60</v>
          </cell>
          <cell r="AJ35">
            <v>1200</v>
          </cell>
          <cell r="AK35">
            <v>19</v>
          </cell>
        </row>
        <row r="36">
          <cell r="AH36">
            <v>2010</v>
          </cell>
          <cell r="AI36">
            <v>60</v>
          </cell>
          <cell r="AJ36">
            <v>150</v>
          </cell>
          <cell r="AK36">
            <v>30</v>
          </cell>
        </row>
        <row r="37">
          <cell r="AH37">
            <v>2004</v>
          </cell>
          <cell r="AI37">
            <v>898</v>
          </cell>
          <cell r="AJ37">
            <v>82731</v>
          </cell>
          <cell r="AK37">
            <v>707</v>
          </cell>
        </row>
        <row r="38">
          <cell r="AH38">
            <v>2017</v>
          </cell>
          <cell r="AI38">
            <v>400</v>
          </cell>
          <cell r="AJ38">
            <v>240</v>
          </cell>
          <cell r="AK38">
            <v>9</v>
          </cell>
        </row>
        <row r="39">
          <cell r="AH39">
            <v>2004</v>
          </cell>
          <cell r="AK39">
            <v>5</v>
          </cell>
        </row>
        <row r="40">
          <cell r="AH40">
            <v>2008</v>
          </cell>
          <cell r="AI40">
            <v>437</v>
          </cell>
          <cell r="AJ40">
            <v>11059</v>
          </cell>
          <cell r="AK40">
            <v>205</v>
          </cell>
        </row>
        <row r="41">
          <cell r="AH41">
            <v>2007</v>
          </cell>
          <cell r="AI41">
            <v>150</v>
          </cell>
          <cell r="AK41">
            <v>8</v>
          </cell>
        </row>
        <row r="42">
          <cell r="AH42">
            <v>2004</v>
          </cell>
          <cell r="AI42">
            <v>100</v>
          </cell>
          <cell r="AK42">
            <v>8</v>
          </cell>
        </row>
        <row r="43">
          <cell r="AH43">
            <v>2017</v>
          </cell>
          <cell r="AI43">
            <v>265</v>
          </cell>
          <cell r="AJ43">
            <v>62391</v>
          </cell>
          <cell r="AK43">
            <v>130</v>
          </cell>
        </row>
        <row r="87">
          <cell r="F87">
            <v>5</v>
          </cell>
          <cell r="G87">
            <v>12</v>
          </cell>
          <cell r="H87">
            <v>6</v>
          </cell>
          <cell r="I87">
            <v>19</v>
          </cell>
          <cell r="K87">
            <v>20</v>
          </cell>
          <cell r="L87">
            <v>43</v>
          </cell>
          <cell r="M87">
            <v>29</v>
          </cell>
          <cell r="N87">
            <v>24</v>
          </cell>
          <cell r="O87">
            <v>21</v>
          </cell>
          <cell r="P87">
            <v>13</v>
          </cell>
          <cell r="Q87">
            <v>14</v>
          </cell>
          <cell r="S87">
            <v>9</v>
          </cell>
          <cell r="T87">
            <v>9</v>
          </cell>
          <cell r="V87">
            <v>16</v>
          </cell>
          <cell r="W87">
            <v>31</v>
          </cell>
          <cell r="Y87">
            <v>13</v>
          </cell>
          <cell r="Z87">
            <v>10</v>
          </cell>
          <cell r="AB87">
            <v>16</v>
          </cell>
          <cell r="AG87">
            <v>8</v>
          </cell>
          <cell r="AI87">
            <v>7785.4</v>
          </cell>
          <cell r="AJ87">
            <v>491798</v>
          </cell>
          <cell r="AK87">
            <v>4438</v>
          </cell>
          <cell r="AL87">
            <v>8</v>
          </cell>
          <cell r="AM87">
            <v>19</v>
          </cell>
          <cell r="AN87">
            <v>16</v>
          </cell>
          <cell r="AO87">
            <v>9</v>
          </cell>
          <cell r="AP87">
            <v>16</v>
          </cell>
          <cell r="AQ87">
            <v>12</v>
          </cell>
        </row>
        <row r="88">
          <cell r="AJ88">
            <v>489152</v>
          </cell>
          <cell r="AK88">
            <v>4132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16"/>
  <sheetViews>
    <sheetView tabSelected="1" view="pageBreakPreview" topLeftCell="E1" zoomScaleNormal="85" zoomScaleSheetLayoutView="100" workbookViewId="0">
      <selection activeCell="I66" sqref="I66:I67"/>
    </sheetView>
  </sheetViews>
  <sheetFormatPr defaultRowHeight="12" x14ac:dyDescent="0.15"/>
  <cols>
    <col min="1" max="1" width="11.7109375" style="1" customWidth="1"/>
    <col min="2" max="4" width="10.7109375" style="1" customWidth="1"/>
    <col min="5" max="5" width="2.7109375" style="1" customWidth="1"/>
    <col min="6" max="6" width="11.7109375" style="1" customWidth="1"/>
    <col min="7" max="9" width="10.7109375" style="1" customWidth="1"/>
    <col min="10" max="10" width="2.7109375" style="1" customWidth="1"/>
    <col min="11" max="11" width="11.7109375" style="1" customWidth="1"/>
    <col min="12" max="13" width="10.7109375" style="1" customWidth="1"/>
    <col min="14" max="14" width="10.7109375" style="2" customWidth="1"/>
    <col min="15" max="15" width="2.7109375" style="1" customWidth="1"/>
    <col min="16" max="16" width="11.7109375" style="1" customWidth="1"/>
    <col min="17" max="18" width="10.7109375" style="1" customWidth="1"/>
    <col min="19" max="19" width="10.7109375" style="2" customWidth="1"/>
    <col min="20" max="20" width="2.7109375" style="1" customWidth="1"/>
    <col min="21" max="21" width="11.7109375" style="1" customWidth="1"/>
    <col min="22" max="23" width="10.7109375" style="1" customWidth="1"/>
    <col min="24" max="24" width="10.7109375" style="2" customWidth="1"/>
    <col min="25" max="16384" width="9.140625" style="1"/>
  </cols>
  <sheetData>
    <row r="1" spans="1:24" x14ac:dyDescent="0.15">
      <c r="A1" s="1" t="s">
        <v>0</v>
      </c>
      <c r="F1" s="1" t="s">
        <v>1</v>
      </c>
      <c r="K1" s="1" t="s">
        <v>2</v>
      </c>
      <c r="P1" s="1" t="s">
        <v>3</v>
      </c>
      <c r="U1" s="1" t="s">
        <v>4</v>
      </c>
    </row>
    <row r="2" spans="1:24" x14ac:dyDescent="0.15">
      <c r="A2" s="3" t="s">
        <v>5</v>
      </c>
      <c r="B2" s="4"/>
      <c r="C2" s="5" t="s">
        <v>6</v>
      </c>
      <c r="D2" s="5" t="s">
        <v>7</v>
      </c>
      <c r="E2" s="6"/>
      <c r="F2" s="3" t="s">
        <v>5</v>
      </c>
      <c r="G2" s="4"/>
      <c r="H2" s="5" t="s">
        <v>6</v>
      </c>
      <c r="I2" s="5" t="s">
        <v>7</v>
      </c>
      <c r="J2" s="6"/>
      <c r="K2" s="3" t="s">
        <v>5</v>
      </c>
      <c r="L2" s="4"/>
      <c r="M2" s="5" t="s">
        <v>6</v>
      </c>
      <c r="N2" s="7" t="s">
        <v>7</v>
      </c>
      <c r="O2" s="6"/>
      <c r="P2" s="3" t="s">
        <v>5</v>
      </c>
      <c r="Q2" s="4"/>
      <c r="R2" s="5" t="s">
        <v>6</v>
      </c>
      <c r="S2" s="7" t="s">
        <v>7</v>
      </c>
      <c r="U2" s="3" t="s">
        <v>5</v>
      </c>
      <c r="V2" s="4"/>
      <c r="W2" s="5" t="s">
        <v>6</v>
      </c>
      <c r="X2" s="7" t="s">
        <v>7</v>
      </c>
    </row>
    <row r="3" spans="1:24" x14ac:dyDescent="0.15">
      <c r="A3" s="8" t="s">
        <v>8</v>
      </c>
      <c r="B3" s="9"/>
      <c r="C3" s="10">
        <f>[1]R2集計!D18</f>
        <v>46</v>
      </c>
      <c r="D3" s="11"/>
      <c r="E3" s="6"/>
      <c r="F3" s="8" t="s">
        <v>8</v>
      </c>
      <c r="G3" s="9"/>
      <c r="H3" s="10">
        <f>[1]R2集計!D30</f>
        <v>54</v>
      </c>
      <c r="I3" s="11"/>
      <c r="J3" s="6"/>
      <c r="K3" s="12" t="s">
        <v>8</v>
      </c>
      <c r="L3" s="9"/>
      <c r="M3" s="9">
        <f>[1]R2集計!D40</f>
        <v>17</v>
      </c>
      <c r="N3" s="13"/>
      <c r="O3" s="6"/>
      <c r="P3" s="8" t="s">
        <v>8</v>
      </c>
      <c r="Q3" s="9"/>
      <c r="R3" s="9">
        <f>[1]R2集計!D52</f>
        <v>44</v>
      </c>
      <c r="S3" s="13"/>
      <c r="U3" s="8" t="s">
        <v>8</v>
      </c>
      <c r="V3" s="9"/>
      <c r="W3" s="9">
        <f>C3+H3+M3+R3</f>
        <v>161</v>
      </c>
      <c r="X3" s="14"/>
    </row>
    <row r="4" spans="1:24" x14ac:dyDescent="0.15">
      <c r="A4" s="15" t="s">
        <v>9</v>
      </c>
      <c r="B4" s="16"/>
      <c r="C4" s="10">
        <f>COUNTA([1]R2北部!AG9:AG55)</f>
        <v>9</v>
      </c>
      <c r="D4" s="14"/>
      <c r="E4" s="6"/>
      <c r="F4" s="15" t="s">
        <v>9</v>
      </c>
      <c r="G4" s="10"/>
      <c r="H4" s="10">
        <f>[1]R2中部!AG60</f>
        <v>9</v>
      </c>
      <c r="I4" s="11"/>
      <c r="J4" s="6"/>
      <c r="K4" s="15" t="s">
        <v>9</v>
      </c>
      <c r="L4" s="10"/>
      <c r="M4" s="17">
        <f>[1]R2南河内!AG62</f>
        <v>11</v>
      </c>
      <c r="N4" s="13"/>
      <c r="O4" s="6"/>
      <c r="P4" s="15" t="s">
        <v>9</v>
      </c>
      <c r="Q4" s="10"/>
      <c r="R4" s="17">
        <f>[1]R2泉州!AG87</f>
        <v>8</v>
      </c>
      <c r="S4" s="13"/>
      <c r="U4" s="15" t="s">
        <v>9</v>
      </c>
      <c r="V4" s="10"/>
      <c r="W4" s="17">
        <f>C4+H4+M4+R4</f>
        <v>37</v>
      </c>
      <c r="X4" s="14"/>
    </row>
    <row r="5" spans="1:24" x14ac:dyDescent="0.15">
      <c r="A5" s="59" t="s">
        <v>10</v>
      </c>
      <c r="B5" s="10" t="s">
        <v>11</v>
      </c>
      <c r="C5" s="18">
        <f>SUM(C6:C9)</f>
        <v>44</v>
      </c>
      <c r="D5" s="11"/>
      <c r="E5" s="6"/>
      <c r="F5" s="59" t="s">
        <v>10</v>
      </c>
      <c r="G5" s="10" t="s">
        <v>11</v>
      </c>
      <c r="H5" s="19">
        <f>SUM(H6:H9)</f>
        <v>54</v>
      </c>
      <c r="I5" s="11"/>
      <c r="J5" s="6"/>
      <c r="K5" s="59" t="s">
        <v>10</v>
      </c>
      <c r="L5" s="10" t="s">
        <v>11</v>
      </c>
      <c r="M5" s="18">
        <f>SUM(M6:M9)</f>
        <v>16</v>
      </c>
      <c r="N5" s="11"/>
      <c r="O5" s="6"/>
      <c r="P5" s="59" t="s">
        <v>10</v>
      </c>
      <c r="Q5" s="10" t="s">
        <v>11</v>
      </c>
      <c r="R5" s="20">
        <f>SUM(R6:R9)</f>
        <v>42</v>
      </c>
      <c r="S5" s="21"/>
      <c r="U5" s="59" t="s">
        <v>10</v>
      </c>
      <c r="V5" s="10" t="s">
        <v>11</v>
      </c>
      <c r="W5" s="22">
        <f>C5+H5+M5+R5</f>
        <v>156</v>
      </c>
      <c r="X5" s="23"/>
    </row>
    <row r="6" spans="1:24" x14ac:dyDescent="0.15">
      <c r="A6" s="60"/>
      <c r="B6" s="24" t="s">
        <v>12</v>
      </c>
      <c r="C6" s="25">
        <f>[1]R2北部!F87</f>
        <v>10</v>
      </c>
      <c r="D6" s="23">
        <f>C6/$C$5</f>
        <v>0.22727272727272727</v>
      </c>
      <c r="E6" s="6"/>
      <c r="F6" s="60"/>
      <c r="G6" s="24" t="s">
        <v>12</v>
      </c>
      <c r="H6" s="25">
        <f>[1]R2中部!F86</f>
        <v>4</v>
      </c>
      <c r="I6" s="23">
        <f>H6/$H$5</f>
        <v>7.407407407407407E-2</v>
      </c>
      <c r="J6" s="6"/>
      <c r="K6" s="60"/>
      <c r="L6" s="16" t="s">
        <v>12</v>
      </c>
      <c r="M6" s="17">
        <f>[1]R2南河内!F62</f>
        <v>0</v>
      </c>
      <c r="N6" s="26">
        <f>M6/M$5</f>
        <v>0</v>
      </c>
      <c r="O6" s="6"/>
      <c r="P6" s="60"/>
      <c r="Q6" s="16" t="s">
        <v>12</v>
      </c>
      <c r="R6" s="17">
        <f>[1]R2泉州!F87</f>
        <v>5</v>
      </c>
      <c r="S6" s="26">
        <f>R6/R$5</f>
        <v>0.11904761904761904</v>
      </c>
      <c r="U6" s="60"/>
      <c r="V6" s="16" t="s">
        <v>12</v>
      </c>
      <c r="W6" s="9">
        <f t="shared" ref="W6:W69" si="0">C6+H6+M6+R6</f>
        <v>19</v>
      </c>
      <c r="X6" s="14">
        <f>W6/W$5</f>
        <v>0.12179487179487179</v>
      </c>
    </row>
    <row r="7" spans="1:24" x14ac:dyDescent="0.15">
      <c r="A7" s="60"/>
      <c r="B7" s="27" t="s">
        <v>13</v>
      </c>
      <c r="C7" s="25">
        <f>[1]R2北部!G87</f>
        <v>13</v>
      </c>
      <c r="D7" s="23">
        <f>C7/$C$5</f>
        <v>0.29545454545454547</v>
      </c>
      <c r="E7" s="6"/>
      <c r="F7" s="60"/>
      <c r="G7" s="27" t="s">
        <v>13</v>
      </c>
      <c r="H7" s="25">
        <f>[1]R2中部!G86</f>
        <v>13</v>
      </c>
      <c r="I7" s="23">
        <f>H7/$H$5</f>
        <v>0.24074074074074073</v>
      </c>
      <c r="J7" s="6"/>
      <c r="K7" s="60"/>
      <c r="L7" s="28" t="s">
        <v>13</v>
      </c>
      <c r="M7" s="17">
        <f>[1]R2南河内!G62</f>
        <v>2</v>
      </c>
      <c r="N7" s="26">
        <f>M7/M$5</f>
        <v>0.125</v>
      </c>
      <c r="O7" s="6"/>
      <c r="P7" s="60"/>
      <c r="Q7" s="28" t="s">
        <v>13</v>
      </c>
      <c r="R7" s="17">
        <f>[1]R2泉州!G87</f>
        <v>12</v>
      </c>
      <c r="S7" s="26">
        <f>R7/R$5</f>
        <v>0.2857142857142857</v>
      </c>
      <c r="U7" s="60"/>
      <c r="V7" s="28" t="s">
        <v>13</v>
      </c>
      <c r="W7" s="9">
        <f t="shared" si="0"/>
        <v>40</v>
      </c>
      <c r="X7" s="14">
        <f>W7/W$5</f>
        <v>0.25641025641025639</v>
      </c>
    </row>
    <row r="8" spans="1:24" x14ac:dyDescent="0.15">
      <c r="A8" s="60"/>
      <c r="B8" s="27" t="s">
        <v>14</v>
      </c>
      <c r="C8" s="25">
        <f>[1]R2北部!H87-1</f>
        <v>10</v>
      </c>
      <c r="D8" s="23">
        <f>C8/$C$5</f>
        <v>0.22727272727272727</v>
      </c>
      <c r="E8" s="6"/>
      <c r="F8" s="60"/>
      <c r="G8" s="27" t="s">
        <v>14</v>
      </c>
      <c r="H8" s="25">
        <f>[1]R2中部!H86</f>
        <v>7</v>
      </c>
      <c r="I8" s="23">
        <f>H8/$H$5</f>
        <v>0.12962962962962962</v>
      </c>
      <c r="J8" s="6"/>
      <c r="K8" s="60"/>
      <c r="L8" s="28" t="s">
        <v>14</v>
      </c>
      <c r="M8" s="17">
        <f>[1]R2南河内!H62</f>
        <v>2</v>
      </c>
      <c r="N8" s="26">
        <f>M8/M$5</f>
        <v>0.125</v>
      </c>
      <c r="O8" s="6"/>
      <c r="P8" s="60"/>
      <c r="Q8" s="28" t="s">
        <v>14</v>
      </c>
      <c r="R8" s="17">
        <f>[1]R2泉州!H87</f>
        <v>6</v>
      </c>
      <c r="S8" s="26">
        <f>R8/R$5</f>
        <v>0.14285714285714285</v>
      </c>
      <c r="U8" s="60"/>
      <c r="V8" s="28" t="s">
        <v>14</v>
      </c>
      <c r="W8" s="9">
        <f t="shared" si="0"/>
        <v>25</v>
      </c>
      <c r="X8" s="14">
        <f>W8/W$5</f>
        <v>0.16025641025641027</v>
      </c>
    </row>
    <row r="9" spans="1:24" x14ac:dyDescent="0.15">
      <c r="A9" s="61"/>
      <c r="B9" s="12" t="s">
        <v>15</v>
      </c>
      <c r="C9" s="25">
        <f>[1]R2北部!I87</f>
        <v>11</v>
      </c>
      <c r="D9" s="23">
        <f>C9/$C$5</f>
        <v>0.25</v>
      </c>
      <c r="E9" s="6"/>
      <c r="F9" s="61"/>
      <c r="G9" s="12" t="s">
        <v>15</v>
      </c>
      <c r="H9" s="25">
        <f>[1]R2中部!I86</f>
        <v>30</v>
      </c>
      <c r="I9" s="23">
        <f>H9/$H$5</f>
        <v>0.55555555555555558</v>
      </c>
      <c r="J9" s="6"/>
      <c r="K9" s="61"/>
      <c r="L9" s="9" t="s">
        <v>15</v>
      </c>
      <c r="M9" s="17">
        <f>[1]R2南河内!I62</f>
        <v>12</v>
      </c>
      <c r="N9" s="26">
        <f>M9/M$5</f>
        <v>0.75</v>
      </c>
      <c r="O9" s="6"/>
      <c r="P9" s="61"/>
      <c r="Q9" s="9" t="s">
        <v>15</v>
      </c>
      <c r="R9" s="17">
        <f>[1]R2泉州!I87</f>
        <v>19</v>
      </c>
      <c r="S9" s="26">
        <f>R9/R$5</f>
        <v>0.45238095238095238</v>
      </c>
      <c r="U9" s="61"/>
      <c r="V9" s="9" t="s">
        <v>15</v>
      </c>
      <c r="W9" s="9">
        <f t="shared" si="0"/>
        <v>72</v>
      </c>
      <c r="X9" s="14">
        <f>W9/W$5</f>
        <v>0.46153846153846156</v>
      </c>
    </row>
    <row r="10" spans="1:24" x14ac:dyDescent="0.15">
      <c r="A10" s="59" t="s">
        <v>16</v>
      </c>
      <c r="B10" s="3" t="s">
        <v>11</v>
      </c>
      <c r="C10" s="18">
        <v>46</v>
      </c>
      <c r="D10" s="11"/>
      <c r="E10" s="6"/>
      <c r="F10" s="59" t="s">
        <v>16</v>
      </c>
      <c r="G10" s="10" t="s">
        <v>11</v>
      </c>
      <c r="H10" s="18">
        <v>54</v>
      </c>
      <c r="I10" s="11"/>
      <c r="J10" s="6"/>
      <c r="K10" s="59" t="s">
        <v>16</v>
      </c>
      <c r="L10" s="10" t="s">
        <v>11</v>
      </c>
      <c r="M10" s="29">
        <v>17</v>
      </c>
      <c r="N10" s="13"/>
      <c r="O10" s="6"/>
      <c r="P10" s="59" t="s">
        <v>16</v>
      </c>
      <c r="Q10" s="10" t="s">
        <v>11</v>
      </c>
      <c r="R10" s="29">
        <v>44</v>
      </c>
      <c r="S10" s="13"/>
      <c r="U10" s="59" t="s">
        <v>16</v>
      </c>
      <c r="V10" s="10" t="s">
        <v>11</v>
      </c>
      <c r="W10" s="29">
        <f>C10+H10+M10+R10</f>
        <v>161</v>
      </c>
      <c r="X10" s="14"/>
    </row>
    <row r="11" spans="1:24" x14ac:dyDescent="0.15">
      <c r="A11" s="60"/>
      <c r="B11" s="27" t="s">
        <v>17</v>
      </c>
      <c r="C11" s="25">
        <f>[1]R2北部!K87-1</f>
        <v>33</v>
      </c>
      <c r="D11" s="23">
        <f t="shared" ref="D11:D16" si="1">C11/$C$10</f>
        <v>0.71739130434782605</v>
      </c>
      <c r="E11" s="6"/>
      <c r="F11" s="60"/>
      <c r="G11" s="28" t="s">
        <v>17</v>
      </c>
      <c r="H11" s="25">
        <f>[1]R2中部!K86</f>
        <v>29</v>
      </c>
      <c r="I11" s="23">
        <f t="shared" ref="I11:I16" si="2">H11/$H$10</f>
        <v>0.53703703703703709</v>
      </c>
      <c r="J11" s="6"/>
      <c r="K11" s="60"/>
      <c r="L11" s="28" t="s">
        <v>17</v>
      </c>
      <c r="M11" s="17">
        <f>[1]R2南河内!K62</f>
        <v>16</v>
      </c>
      <c r="N11" s="26">
        <f t="shared" ref="N11:N16" si="3">M11/M$10</f>
        <v>0.94117647058823528</v>
      </c>
      <c r="O11" s="6"/>
      <c r="P11" s="60"/>
      <c r="Q11" s="28" t="s">
        <v>17</v>
      </c>
      <c r="R11" s="17">
        <f>[1]R2泉州!K87</f>
        <v>20</v>
      </c>
      <c r="S11" s="26">
        <f t="shared" ref="S11:S16" si="4">R11/R$10</f>
        <v>0.45454545454545453</v>
      </c>
      <c r="U11" s="60"/>
      <c r="V11" s="28" t="s">
        <v>17</v>
      </c>
      <c r="W11" s="9">
        <f t="shared" si="0"/>
        <v>98</v>
      </c>
      <c r="X11" s="14">
        <f t="shared" ref="X11:X16" si="5">W11/W$10</f>
        <v>0.60869565217391308</v>
      </c>
    </row>
    <row r="12" spans="1:24" x14ac:dyDescent="0.15">
      <c r="A12" s="60"/>
      <c r="B12" s="27" t="s">
        <v>18</v>
      </c>
      <c r="C12" s="25">
        <f>[1]R2北部!L87-1</f>
        <v>45</v>
      </c>
      <c r="D12" s="23">
        <f t="shared" si="1"/>
        <v>0.97826086956521741</v>
      </c>
      <c r="E12" s="6"/>
      <c r="F12" s="60"/>
      <c r="G12" s="28" t="s">
        <v>18</v>
      </c>
      <c r="H12" s="25">
        <f>[1]R2中部!L86</f>
        <v>52</v>
      </c>
      <c r="I12" s="23">
        <f t="shared" si="2"/>
        <v>0.96296296296296291</v>
      </c>
      <c r="J12" s="6"/>
      <c r="K12" s="60"/>
      <c r="L12" s="28" t="s">
        <v>18</v>
      </c>
      <c r="M12" s="17">
        <f>[1]R2南河内!L62</f>
        <v>16</v>
      </c>
      <c r="N12" s="26">
        <f t="shared" si="3"/>
        <v>0.94117647058823528</v>
      </c>
      <c r="O12" s="6"/>
      <c r="P12" s="60"/>
      <c r="Q12" s="28" t="s">
        <v>18</v>
      </c>
      <c r="R12" s="17">
        <f>[1]R2泉州!L87</f>
        <v>43</v>
      </c>
      <c r="S12" s="26">
        <f t="shared" si="4"/>
        <v>0.97727272727272729</v>
      </c>
      <c r="U12" s="60"/>
      <c r="V12" s="28" t="s">
        <v>18</v>
      </c>
      <c r="W12" s="9">
        <f t="shared" si="0"/>
        <v>156</v>
      </c>
      <c r="X12" s="14">
        <f t="shared" si="5"/>
        <v>0.96894409937888204</v>
      </c>
    </row>
    <row r="13" spans="1:24" x14ac:dyDescent="0.15">
      <c r="A13" s="60"/>
      <c r="B13" s="27" t="s">
        <v>19</v>
      </c>
      <c r="C13" s="25">
        <f>[1]R2北部!M87-1</f>
        <v>39</v>
      </c>
      <c r="D13" s="23">
        <f>C13/$C$10</f>
        <v>0.84782608695652173</v>
      </c>
      <c r="E13" s="6"/>
      <c r="F13" s="60"/>
      <c r="G13" s="28" t="s">
        <v>19</v>
      </c>
      <c r="H13" s="25">
        <f>[1]R2中部!M86</f>
        <v>38</v>
      </c>
      <c r="I13" s="23">
        <f t="shared" si="2"/>
        <v>0.70370370370370372</v>
      </c>
      <c r="J13" s="6"/>
      <c r="K13" s="60"/>
      <c r="L13" s="28" t="s">
        <v>19</v>
      </c>
      <c r="M13" s="17">
        <f>[1]R2南河内!M62</f>
        <v>17</v>
      </c>
      <c r="N13" s="26">
        <f t="shared" si="3"/>
        <v>1</v>
      </c>
      <c r="O13" s="6"/>
      <c r="P13" s="60"/>
      <c r="Q13" s="28" t="s">
        <v>19</v>
      </c>
      <c r="R13" s="17">
        <f>[1]R2泉州!M87</f>
        <v>29</v>
      </c>
      <c r="S13" s="26">
        <f t="shared" si="4"/>
        <v>0.65909090909090906</v>
      </c>
      <c r="U13" s="60"/>
      <c r="V13" s="28" t="s">
        <v>19</v>
      </c>
      <c r="W13" s="9">
        <f t="shared" si="0"/>
        <v>123</v>
      </c>
      <c r="X13" s="14">
        <f t="shared" si="5"/>
        <v>0.7639751552795031</v>
      </c>
    </row>
    <row r="14" spans="1:24" x14ac:dyDescent="0.15">
      <c r="A14" s="60"/>
      <c r="B14" s="27" t="s">
        <v>20</v>
      </c>
      <c r="C14" s="25">
        <f>[1]R2北部!N87</f>
        <v>38</v>
      </c>
      <c r="D14" s="23">
        <f t="shared" si="1"/>
        <v>0.82608695652173914</v>
      </c>
      <c r="E14" s="30"/>
      <c r="F14" s="60"/>
      <c r="G14" s="28" t="s">
        <v>20</v>
      </c>
      <c r="H14" s="25">
        <f>[1]R2中部!N86</f>
        <v>34</v>
      </c>
      <c r="I14" s="23">
        <f t="shared" si="2"/>
        <v>0.62962962962962965</v>
      </c>
      <c r="J14" s="30"/>
      <c r="K14" s="60"/>
      <c r="L14" s="28" t="s">
        <v>20</v>
      </c>
      <c r="M14" s="17">
        <f>[1]R2南河内!N62</f>
        <v>13</v>
      </c>
      <c r="N14" s="26">
        <f t="shared" si="3"/>
        <v>0.76470588235294112</v>
      </c>
      <c r="O14" s="30"/>
      <c r="P14" s="60"/>
      <c r="Q14" s="28" t="s">
        <v>20</v>
      </c>
      <c r="R14" s="17">
        <f>[1]R2泉州!N87</f>
        <v>24</v>
      </c>
      <c r="S14" s="26">
        <f t="shared" si="4"/>
        <v>0.54545454545454541</v>
      </c>
      <c r="U14" s="60"/>
      <c r="V14" s="28" t="s">
        <v>20</v>
      </c>
      <c r="W14" s="9">
        <f t="shared" si="0"/>
        <v>109</v>
      </c>
      <c r="X14" s="14">
        <f t="shared" si="5"/>
        <v>0.67701863354037262</v>
      </c>
    </row>
    <row r="15" spans="1:24" x14ac:dyDescent="0.15">
      <c r="A15" s="60"/>
      <c r="B15" s="27" t="s">
        <v>21</v>
      </c>
      <c r="C15" s="25">
        <f>[1]R2北部!O87</f>
        <v>23</v>
      </c>
      <c r="D15" s="23">
        <f t="shared" si="1"/>
        <v>0.5</v>
      </c>
      <c r="E15" s="31"/>
      <c r="F15" s="60"/>
      <c r="G15" s="28" t="s">
        <v>21</v>
      </c>
      <c r="H15" s="25">
        <f>[1]R2中部!O86</f>
        <v>27</v>
      </c>
      <c r="I15" s="23">
        <f t="shared" si="2"/>
        <v>0.5</v>
      </c>
      <c r="J15" s="31"/>
      <c r="K15" s="60"/>
      <c r="L15" s="28" t="s">
        <v>21</v>
      </c>
      <c r="M15" s="17">
        <f>[1]R2南河内!O62</f>
        <v>15</v>
      </c>
      <c r="N15" s="26">
        <f t="shared" si="3"/>
        <v>0.88235294117647056</v>
      </c>
      <c r="O15" s="31"/>
      <c r="P15" s="60"/>
      <c r="Q15" s="28" t="s">
        <v>21</v>
      </c>
      <c r="R15" s="17">
        <f>[1]R2泉州!O87</f>
        <v>21</v>
      </c>
      <c r="S15" s="26">
        <f t="shared" si="4"/>
        <v>0.47727272727272729</v>
      </c>
      <c r="U15" s="60"/>
      <c r="V15" s="28" t="s">
        <v>21</v>
      </c>
      <c r="W15" s="9">
        <f t="shared" si="0"/>
        <v>86</v>
      </c>
      <c r="X15" s="14">
        <f t="shared" si="5"/>
        <v>0.53416149068322982</v>
      </c>
    </row>
    <row r="16" spans="1:24" x14ac:dyDescent="0.15">
      <c r="A16" s="61"/>
      <c r="B16" s="32" t="s">
        <v>22</v>
      </c>
      <c r="C16" s="25">
        <f>[1]R2北部!P87</f>
        <v>14</v>
      </c>
      <c r="D16" s="23">
        <f t="shared" si="1"/>
        <v>0.30434782608695654</v>
      </c>
      <c r="E16" s="33"/>
      <c r="F16" s="61"/>
      <c r="G16" s="34" t="s">
        <v>22</v>
      </c>
      <c r="H16" s="25">
        <f>[1]R2中部!P86</f>
        <v>7</v>
      </c>
      <c r="I16" s="23">
        <f t="shared" si="2"/>
        <v>0.12962962962962962</v>
      </c>
      <c r="J16" s="33"/>
      <c r="K16" s="61"/>
      <c r="L16" s="34" t="s">
        <v>22</v>
      </c>
      <c r="M16" s="17">
        <f>[1]R2南河内!P62</f>
        <v>11</v>
      </c>
      <c r="N16" s="26">
        <f t="shared" si="3"/>
        <v>0.6470588235294118</v>
      </c>
      <c r="O16" s="33"/>
      <c r="P16" s="61"/>
      <c r="Q16" s="34" t="s">
        <v>22</v>
      </c>
      <c r="R16" s="17">
        <f>[1]R2泉州!P87</f>
        <v>13</v>
      </c>
      <c r="S16" s="26">
        <f t="shared" si="4"/>
        <v>0.29545454545454547</v>
      </c>
      <c r="U16" s="61"/>
      <c r="V16" s="34" t="s">
        <v>22</v>
      </c>
      <c r="W16" s="9">
        <f t="shared" si="0"/>
        <v>45</v>
      </c>
      <c r="X16" s="14">
        <f t="shared" si="5"/>
        <v>0.27950310559006208</v>
      </c>
    </row>
    <row r="17" spans="1:24" x14ac:dyDescent="0.15">
      <c r="A17" s="62" t="s">
        <v>23</v>
      </c>
      <c r="B17" s="35" t="s">
        <v>11</v>
      </c>
      <c r="C17" s="18">
        <f>SUM(C18:C19)</f>
        <v>45</v>
      </c>
      <c r="D17" s="11"/>
      <c r="E17" s="33"/>
      <c r="F17" s="62" t="s">
        <v>23</v>
      </c>
      <c r="G17" s="36" t="s">
        <v>11</v>
      </c>
      <c r="H17" s="19">
        <f>SUM(H18:H19)</f>
        <v>54</v>
      </c>
      <c r="I17" s="11"/>
      <c r="J17" s="33"/>
      <c r="K17" s="62" t="s">
        <v>23</v>
      </c>
      <c r="L17" s="36" t="s">
        <v>11</v>
      </c>
      <c r="M17" s="29">
        <f>SUM(M18:M19)</f>
        <v>17</v>
      </c>
      <c r="N17" s="13"/>
      <c r="O17" s="33"/>
      <c r="P17" s="62" t="s">
        <v>23</v>
      </c>
      <c r="Q17" s="36" t="s">
        <v>11</v>
      </c>
      <c r="R17" s="22">
        <f>SUM(R18:R19)</f>
        <v>44</v>
      </c>
      <c r="S17" s="13"/>
      <c r="U17" s="62" t="s">
        <v>23</v>
      </c>
      <c r="V17" s="36" t="s">
        <v>11</v>
      </c>
      <c r="W17" s="29">
        <f t="shared" si="0"/>
        <v>160</v>
      </c>
      <c r="X17" s="14"/>
    </row>
    <row r="18" spans="1:24" x14ac:dyDescent="0.15">
      <c r="A18" s="63"/>
      <c r="B18" s="37" t="s">
        <v>24</v>
      </c>
      <c r="C18" s="25">
        <f>[1]R2北部!W87</f>
        <v>36</v>
      </c>
      <c r="D18" s="23">
        <f>C18/C17</f>
        <v>0.8</v>
      </c>
      <c r="E18" s="33"/>
      <c r="F18" s="63"/>
      <c r="G18" s="38" t="s">
        <v>24</v>
      </c>
      <c r="H18" s="25">
        <f>[1]R2中部!W86</f>
        <v>39</v>
      </c>
      <c r="I18" s="23">
        <f>H18/$H$17</f>
        <v>0.72222222222222221</v>
      </c>
      <c r="J18" s="33"/>
      <c r="K18" s="63"/>
      <c r="L18" s="38" t="s">
        <v>24</v>
      </c>
      <c r="M18" s="17">
        <f>[1]R2南河内!W62</f>
        <v>16</v>
      </c>
      <c r="N18" s="26">
        <f>M18/M$17</f>
        <v>0.94117647058823528</v>
      </c>
      <c r="O18" s="33"/>
      <c r="P18" s="63"/>
      <c r="Q18" s="38" t="s">
        <v>24</v>
      </c>
      <c r="R18" s="17">
        <f>[1]R2泉州!W87</f>
        <v>31</v>
      </c>
      <c r="S18" s="26">
        <f>R18/R17</f>
        <v>0.70454545454545459</v>
      </c>
      <c r="U18" s="63"/>
      <c r="V18" s="38" t="s">
        <v>24</v>
      </c>
      <c r="W18" s="9">
        <f t="shared" si="0"/>
        <v>122</v>
      </c>
      <c r="X18" s="39">
        <f>W18/W$17</f>
        <v>0.76249999999999996</v>
      </c>
    </row>
    <row r="19" spans="1:24" x14ac:dyDescent="0.15">
      <c r="A19" s="64"/>
      <c r="B19" s="32" t="s">
        <v>25</v>
      </c>
      <c r="C19" s="10">
        <f>[1]R2北部!Y56-1</f>
        <v>9</v>
      </c>
      <c r="D19" s="23">
        <f>C19/C17</f>
        <v>0.2</v>
      </c>
      <c r="E19" s="33"/>
      <c r="F19" s="64"/>
      <c r="G19" s="34" t="s">
        <v>25</v>
      </c>
      <c r="H19" s="25">
        <f>[1]R2中部!Y86</f>
        <v>15</v>
      </c>
      <c r="I19" s="23">
        <f>H19/$H$17</f>
        <v>0.27777777777777779</v>
      </c>
      <c r="J19" s="33"/>
      <c r="K19" s="64"/>
      <c r="L19" s="34" t="s">
        <v>25</v>
      </c>
      <c r="M19" s="17">
        <f>[1]R2南河内!Y62</f>
        <v>1</v>
      </c>
      <c r="N19" s="26">
        <f>M19/M$17</f>
        <v>5.8823529411764705E-2</v>
      </c>
      <c r="O19" s="33"/>
      <c r="P19" s="64"/>
      <c r="Q19" s="34" t="s">
        <v>25</v>
      </c>
      <c r="R19" s="17">
        <f>[1]R2泉州!Y87</f>
        <v>13</v>
      </c>
      <c r="S19" s="26">
        <f>R19/R17</f>
        <v>0.29545454545454547</v>
      </c>
      <c r="U19" s="64"/>
      <c r="V19" s="34" t="s">
        <v>25</v>
      </c>
      <c r="W19" s="9">
        <f t="shared" si="0"/>
        <v>38</v>
      </c>
      <c r="X19" s="39">
        <f>W19/W$17</f>
        <v>0.23749999999999999</v>
      </c>
    </row>
    <row r="20" spans="1:24" x14ac:dyDescent="0.15">
      <c r="A20" s="62" t="s">
        <v>26</v>
      </c>
      <c r="B20" s="35" t="s">
        <v>11</v>
      </c>
      <c r="C20" s="18">
        <f>SUM(C21:C28)</f>
        <v>44</v>
      </c>
      <c r="D20" s="11"/>
      <c r="E20" s="40"/>
      <c r="F20" s="62" t="s">
        <v>26</v>
      </c>
      <c r="G20" s="36" t="s">
        <v>11</v>
      </c>
      <c r="H20" s="18">
        <f>SUM(H21:H28)</f>
        <v>52</v>
      </c>
      <c r="I20" s="11"/>
      <c r="J20" s="40"/>
      <c r="K20" s="62" t="s">
        <v>26</v>
      </c>
      <c r="L20" s="36" t="s">
        <v>11</v>
      </c>
      <c r="M20" s="29">
        <f>SUM(M21:M28)</f>
        <v>16</v>
      </c>
      <c r="N20" s="13"/>
      <c r="O20" s="40"/>
      <c r="P20" s="62" t="s">
        <v>26</v>
      </c>
      <c r="Q20" s="36" t="s">
        <v>11</v>
      </c>
      <c r="R20" s="29">
        <f>SUM(R21:R28)</f>
        <v>28</v>
      </c>
      <c r="S20" s="26"/>
      <c r="U20" s="62" t="s">
        <v>26</v>
      </c>
      <c r="V20" s="36" t="s">
        <v>11</v>
      </c>
      <c r="W20" s="29">
        <f t="shared" si="0"/>
        <v>140</v>
      </c>
      <c r="X20" s="39"/>
    </row>
    <row r="21" spans="1:24" x14ac:dyDescent="0.15">
      <c r="A21" s="63"/>
      <c r="B21" s="37" t="s">
        <v>27</v>
      </c>
      <c r="C21" s="10">
        <f>COUNTIF([1]R2北部!AH9:AH55,"&lt;=1984")</f>
        <v>1</v>
      </c>
      <c r="D21" s="23">
        <f t="shared" ref="D21:D28" si="6">C21/$C$20</f>
        <v>2.2727272727272728E-2</v>
      </c>
      <c r="E21" s="40"/>
      <c r="F21" s="63"/>
      <c r="G21" s="38" t="s">
        <v>27</v>
      </c>
      <c r="H21" s="10">
        <f>COUNTIF([1]R2中部!AH9:AH83,"&lt;=1984")</f>
        <v>7</v>
      </c>
      <c r="I21" s="23">
        <f t="shared" ref="I21:I28" si="7">H21/$H$20</f>
        <v>0.13461538461538461</v>
      </c>
      <c r="J21" s="40"/>
      <c r="K21" s="63"/>
      <c r="L21" s="38" t="s">
        <v>27</v>
      </c>
      <c r="M21" s="10">
        <f>COUNTIF([1]R2南河内!AH9:AH33,"&lt;=1984")</f>
        <v>1</v>
      </c>
      <c r="N21" s="26">
        <f t="shared" ref="N21:N28" si="8">M21/M$20</f>
        <v>6.25E-2</v>
      </c>
      <c r="O21" s="40"/>
      <c r="P21" s="63"/>
      <c r="Q21" s="38" t="s">
        <v>27</v>
      </c>
      <c r="R21" s="10">
        <f>COUNTIF([1]R2泉州!AH9:AH43,"&lt;=1984")</f>
        <v>0</v>
      </c>
      <c r="S21" s="26">
        <f t="shared" ref="S21:S28" si="9">R21/R$20</f>
        <v>0</v>
      </c>
      <c r="U21" s="63"/>
      <c r="V21" s="38" t="s">
        <v>27</v>
      </c>
      <c r="W21" s="9">
        <f t="shared" si="0"/>
        <v>9</v>
      </c>
      <c r="X21" s="39">
        <f t="shared" ref="X21:X28" si="10">W21/W$20</f>
        <v>6.4285714285714279E-2</v>
      </c>
    </row>
    <row r="22" spans="1:24" x14ac:dyDescent="0.15">
      <c r="A22" s="63"/>
      <c r="B22" s="37" t="s">
        <v>28</v>
      </c>
      <c r="C22" s="25">
        <f>COUNTIF([1]R2北部!AH9:AH55,"&lt;=1989")-COUNTIF([1]R2北部!AH9:AH55,"&lt;1985")</f>
        <v>4</v>
      </c>
      <c r="D22" s="23">
        <f t="shared" si="6"/>
        <v>9.0909090909090912E-2</v>
      </c>
      <c r="E22" s="40"/>
      <c r="F22" s="63"/>
      <c r="G22" s="38" t="s">
        <v>28</v>
      </c>
      <c r="H22" s="25">
        <f>COUNTIF([1]R2中部!AH9:AH83,"&lt;=1989")-COUNTIF([1]R2中部!AH9:AH83,"&lt;1985")</f>
        <v>0</v>
      </c>
      <c r="I22" s="23">
        <f t="shared" si="7"/>
        <v>0</v>
      </c>
      <c r="J22" s="40"/>
      <c r="K22" s="63"/>
      <c r="L22" s="38" t="s">
        <v>28</v>
      </c>
      <c r="M22" s="25">
        <f>COUNTIF([1]R2南河内!AH9:AH33,"&lt;=1989")-COUNTIF([1]R2南河内!AH9:AH33,"&lt;1985")</f>
        <v>0</v>
      </c>
      <c r="N22" s="26">
        <f t="shared" si="8"/>
        <v>0</v>
      </c>
      <c r="O22" s="40"/>
      <c r="P22" s="63"/>
      <c r="Q22" s="38" t="s">
        <v>28</v>
      </c>
      <c r="R22" s="25">
        <f>COUNTIF([1]R2泉州!AH9:AH43,"&lt;=1989")-COUNTIF([1]R2泉州!AH9:AH43,"&lt;1985")</f>
        <v>0</v>
      </c>
      <c r="S22" s="26">
        <f t="shared" si="9"/>
        <v>0</v>
      </c>
      <c r="U22" s="63"/>
      <c r="V22" s="38" t="s">
        <v>28</v>
      </c>
      <c r="W22" s="9">
        <f t="shared" si="0"/>
        <v>4</v>
      </c>
      <c r="X22" s="39">
        <f t="shared" si="10"/>
        <v>2.8571428571428571E-2</v>
      </c>
    </row>
    <row r="23" spans="1:24" x14ac:dyDescent="0.15">
      <c r="A23" s="63"/>
      <c r="B23" s="37" t="s">
        <v>29</v>
      </c>
      <c r="C23" s="10">
        <f>COUNTIF([1]R2北部!AH9:AH55,"&lt;=1994")-COUNTIF([1]R2北部!AH9:AH55,"&lt;1990")</f>
        <v>2</v>
      </c>
      <c r="D23" s="23">
        <f t="shared" si="6"/>
        <v>4.5454545454545456E-2</v>
      </c>
      <c r="E23" s="40"/>
      <c r="F23" s="63"/>
      <c r="G23" s="38" t="s">
        <v>29</v>
      </c>
      <c r="H23" s="10">
        <f>COUNTIF([1]R2中部!AH9:AH83,"&lt;=1994")-COUNTIF([1]R2中部!AH9:AH83,"&lt;1990")</f>
        <v>6</v>
      </c>
      <c r="I23" s="23">
        <f t="shared" si="7"/>
        <v>0.11538461538461539</v>
      </c>
      <c r="J23" s="40"/>
      <c r="K23" s="63"/>
      <c r="L23" s="38" t="s">
        <v>29</v>
      </c>
      <c r="M23" s="10">
        <f>COUNTIF([1]R2南河内!AH9:AH33,"&lt;=1994")-COUNTIF([1]R2南河内!AH9:AH33,"&lt;1990")</f>
        <v>3</v>
      </c>
      <c r="N23" s="26">
        <f t="shared" si="8"/>
        <v>0.1875</v>
      </c>
      <c r="O23" s="40"/>
      <c r="P23" s="63"/>
      <c r="Q23" s="38" t="s">
        <v>29</v>
      </c>
      <c r="R23" s="10">
        <f>COUNTIF([1]R2泉州!AH9:AH43,"&lt;=1994")-COUNTIF([1]R2泉州!AH9:AH43,"&lt;1990")</f>
        <v>1</v>
      </c>
      <c r="S23" s="26">
        <f t="shared" si="9"/>
        <v>3.5714285714285712E-2</v>
      </c>
      <c r="U23" s="63"/>
      <c r="V23" s="38" t="s">
        <v>29</v>
      </c>
      <c r="W23" s="9">
        <f t="shared" si="0"/>
        <v>12</v>
      </c>
      <c r="X23" s="39">
        <f t="shared" si="10"/>
        <v>8.5714285714285715E-2</v>
      </c>
    </row>
    <row r="24" spans="1:24" x14ac:dyDescent="0.15">
      <c r="A24" s="63"/>
      <c r="B24" s="37" t="s">
        <v>30</v>
      </c>
      <c r="C24" s="10">
        <f>COUNTIF([1]R2北部!AH9:AH55,"&lt;=1999")-COUNTIF([1]R2北部!AH9:AH55,"&lt;1995")+1</f>
        <v>5</v>
      </c>
      <c r="D24" s="23">
        <f>C24/$C$20</f>
        <v>0.11363636363636363</v>
      </c>
      <c r="E24" s="40"/>
      <c r="F24" s="63"/>
      <c r="G24" s="38" t="s">
        <v>30</v>
      </c>
      <c r="H24" s="10">
        <f>COUNTIF([1]R2中部!AH9:AH83,"&lt;=1999")-COUNTIF([1]R2中部!AH9:AH83,"&lt;1995")</f>
        <v>4</v>
      </c>
      <c r="I24" s="23">
        <f t="shared" si="7"/>
        <v>7.6923076923076927E-2</v>
      </c>
      <c r="J24" s="40"/>
      <c r="K24" s="63"/>
      <c r="L24" s="38" t="s">
        <v>30</v>
      </c>
      <c r="M24" s="10">
        <f>COUNTIF([1]R2南河内!AH9:AH33,"&lt;=1999")-COUNTIF([1]R2南河内!AH9:AH33,"&lt;1995")</f>
        <v>1</v>
      </c>
      <c r="N24" s="26">
        <f t="shared" si="8"/>
        <v>6.25E-2</v>
      </c>
      <c r="O24" s="40"/>
      <c r="P24" s="63"/>
      <c r="Q24" s="38" t="s">
        <v>30</v>
      </c>
      <c r="R24" s="10">
        <f>COUNTIF([1]R2泉州!AH9:AH43,"&lt;=1999")-COUNTIF([1]R2泉州!AH9:AH43,"&lt;1995")</f>
        <v>5</v>
      </c>
      <c r="S24" s="26">
        <f t="shared" si="9"/>
        <v>0.17857142857142858</v>
      </c>
      <c r="U24" s="63"/>
      <c r="V24" s="38" t="s">
        <v>30</v>
      </c>
      <c r="W24" s="9">
        <f t="shared" si="0"/>
        <v>15</v>
      </c>
      <c r="X24" s="39">
        <f t="shared" si="10"/>
        <v>0.10714285714285714</v>
      </c>
    </row>
    <row r="25" spans="1:24" x14ac:dyDescent="0.15">
      <c r="A25" s="63"/>
      <c r="B25" s="37" t="s">
        <v>31</v>
      </c>
      <c r="C25" s="10">
        <f>COUNTIF([1]R2北部!AH9:AH55,"&lt;=2004")-COUNTIF([1]R2北部!AH9:AH55,"&lt;2000")</f>
        <v>6</v>
      </c>
      <c r="D25" s="23">
        <f t="shared" si="6"/>
        <v>0.13636363636363635</v>
      </c>
      <c r="E25" s="40"/>
      <c r="F25" s="63"/>
      <c r="G25" s="38" t="s">
        <v>31</v>
      </c>
      <c r="H25" s="10">
        <f>COUNTIF([1]R2中部!AH9:AH83,"&lt;=2004")-COUNTIF([1]R2中部!AH9:AH83,"&lt;2000")</f>
        <v>9</v>
      </c>
      <c r="I25" s="23">
        <f t="shared" si="7"/>
        <v>0.17307692307692307</v>
      </c>
      <c r="J25" s="40"/>
      <c r="K25" s="63"/>
      <c r="L25" s="38" t="s">
        <v>31</v>
      </c>
      <c r="M25" s="10">
        <f>COUNTIF([1]R2南河内!AH9:AH33,"&lt;=2004")-COUNTIF([1]R2南河内!AH9:AH33,"&lt;2000")</f>
        <v>3</v>
      </c>
      <c r="N25" s="26">
        <f t="shared" si="8"/>
        <v>0.1875</v>
      </c>
      <c r="O25" s="40"/>
      <c r="P25" s="63"/>
      <c r="Q25" s="38" t="s">
        <v>31</v>
      </c>
      <c r="R25" s="10">
        <f>COUNTIF([1]R2泉州!AH9:AH43,"&lt;=2004")-COUNTIF([1]R2泉州!AH9:AH43,"&lt;2000")</f>
        <v>6</v>
      </c>
      <c r="S25" s="26">
        <f t="shared" si="9"/>
        <v>0.21428571428571427</v>
      </c>
      <c r="U25" s="63"/>
      <c r="V25" s="38" t="s">
        <v>31</v>
      </c>
      <c r="W25" s="9">
        <f>C25+H25+M25+R25</f>
        <v>24</v>
      </c>
      <c r="X25" s="39">
        <f t="shared" si="10"/>
        <v>0.17142857142857143</v>
      </c>
    </row>
    <row r="26" spans="1:24" ht="12" customHeight="1" x14ac:dyDescent="0.15">
      <c r="A26" s="63"/>
      <c r="B26" s="37" t="s">
        <v>32</v>
      </c>
      <c r="C26" s="10">
        <f>COUNTIF([1]R2北部!AH9:AH55,"&lt;=2009")-COUNTIF([1]R2北部!AH9:AH55,"&lt;2005")</f>
        <v>10</v>
      </c>
      <c r="D26" s="23">
        <f t="shared" si="6"/>
        <v>0.22727272727272727</v>
      </c>
      <c r="E26" s="40"/>
      <c r="F26" s="63"/>
      <c r="G26" s="37" t="s">
        <v>32</v>
      </c>
      <c r="H26" s="10">
        <f>COUNTIF([1]R2中部!AH9:AH83,"&lt;=2009")-COUNTIF([1]R2中部!AH9:AH83,"&lt;2005")</f>
        <v>8</v>
      </c>
      <c r="I26" s="23">
        <f t="shared" si="7"/>
        <v>0.15384615384615385</v>
      </c>
      <c r="J26" s="40"/>
      <c r="K26" s="63"/>
      <c r="L26" s="37" t="s">
        <v>32</v>
      </c>
      <c r="M26" s="10">
        <f>COUNTIF([1]R2南河内!AH9:AH33,"&lt;=2009")-COUNTIF([1]R2南河内!AH9:AH33,"&lt;2005")</f>
        <v>5</v>
      </c>
      <c r="N26" s="26">
        <f t="shared" si="8"/>
        <v>0.3125</v>
      </c>
      <c r="O26" s="40"/>
      <c r="P26" s="63"/>
      <c r="Q26" s="37" t="s">
        <v>32</v>
      </c>
      <c r="R26" s="10">
        <f>COUNTIF([1]R2泉州!AH9:AH43,"&lt;=2009")-COUNTIF([1]R2泉州!AH9:AH43,"&lt;2005")</f>
        <v>5</v>
      </c>
      <c r="S26" s="26">
        <f t="shared" si="9"/>
        <v>0.17857142857142858</v>
      </c>
      <c r="U26" s="63"/>
      <c r="V26" s="37" t="s">
        <v>32</v>
      </c>
      <c r="W26" s="9">
        <f>C26+H26+M26+R26</f>
        <v>28</v>
      </c>
      <c r="X26" s="39">
        <f t="shared" si="10"/>
        <v>0.2</v>
      </c>
    </row>
    <row r="27" spans="1:24" ht="12" customHeight="1" x14ac:dyDescent="0.15">
      <c r="A27" s="63"/>
      <c r="B27" s="38" t="s">
        <v>33</v>
      </c>
      <c r="C27" s="10">
        <f>COUNTIF([1]R2北部!AH9:AH55,"&lt;=2014")-COUNTIF([1]R2北部!AH9:AH55,"&lt;2010")-1</f>
        <v>8</v>
      </c>
      <c r="D27" s="23">
        <f t="shared" si="6"/>
        <v>0.18181818181818182</v>
      </c>
      <c r="E27" s="40"/>
      <c r="F27" s="63"/>
      <c r="G27" s="38" t="s">
        <v>33</v>
      </c>
      <c r="H27" s="10">
        <f>COUNTIF([1]R2中部!AH9:AH83,"&lt;=2014")-COUNTIF([1]R2中部!AH9:AH83,"&lt;2010")</f>
        <v>9</v>
      </c>
      <c r="I27" s="23">
        <f t="shared" si="7"/>
        <v>0.17307692307692307</v>
      </c>
      <c r="J27" s="40"/>
      <c r="K27" s="63"/>
      <c r="L27" s="38" t="s">
        <v>33</v>
      </c>
      <c r="M27" s="10">
        <f>COUNTIF([1]R2南河内!AH9:AH33,"&lt;=2014")-COUNTIF([1]R2南河内!AH9:AH33,"&lt;2010")</f>
        <v>2</v>
      </c>
      <c r="N27" s="26">
        <f t="shared" si="8"/>
        <v>0.125</v>
      </c>
      <c r="O27" s="40"/>
      <c r="P27" s="63"/>
      <c r="Q27" s="38" t="s">
        <v>33</v>
      </c>
      <c r="R27" s="10">
        <f>COUNTIF([1]R2泉州!AH9:AH43,"&lt;=2014")-COUNTIF([1]R2泉州!AH9:AH43,"&lt;2010")</f>
        <v>5</v>
      </c>
      <c r="S27" s="26">
        <f t="shared" si="9"/>
        <v>0.17857142857142858</v>
      </c>
      <c r="U27" s="63"/>
      <c r="V27" s="38" t="s">
        <v>33</v>
      </c>
      <c r="W27" s="9">
        <f>C27+H27+M27+R27</f>
        <v>24</v>
      </c>
      <c r="X27" s="39">
        <f t="shared" si="10"/>
        <v>0.17142857142857143</v>
      </c>
    </row>
    <row r="28" spans="1:24" ht="12" customHeight="1" x14ac:dyDescent="0.15">
      <c r="A28" s="64"/>
      <c r="B28" s="34" t="s">
        <v>34</v>
      </c>
      <c r="C28" s="10">
        <f>COUNTIF([1]R2北部!AH9:AH55,"&gt;=2015")</f>
        <v>8</v>
      </c>
      <c r="D28" s="23">
        <f t="shared" si="6"/>
        <v>0.18181818181818182</v>
      </c>
      <c r="E28" s="40"/>
      <c r="F28" s="64"/>
      <c r="G28" s="34" t="s">
        <v>34</v>
      </c>
      <c r="H28" s="10">
        <f>COUNTIF([1]R2中部!AH9:AH83,"&gt;=2015")</f>
        <v>9</v>
      </c>
      <c r="I28" s="23">
        <f t="shared" si="7"/>
        <v>0.17307692307692307</v>
      </c>
      <c r="J28" s="40"/>
      <c r="K28" s="64"/>
      <c r="L28" s="34" t="s">
        <v>34</v>
      </c>
      <c r="M28" s="10">
        <f>COUNTIF([1]R2南河内!AH9:AH33,"&gt;=2015")</f>
        <v>1</v>
      </c>
      <c r="N28" s="26">
        <f t="shared" si="8"/>
        <v>6.25E-2</v>
      </c>
      <c r="O28" s="40"/>
      <c r="P28" s="64"/>
      <c r="Q28" s="34" t="s">
        <v>34</v>
      </c>
      <c r="R28" s="10">
        <f>COUNTIF([1]R2泉州!AH9:AH43,"&gt;=2015")</f>
        <v>6</v>
      </c>
      <c r="S28" s="26">
        <f t="shared" si="9"/>
        <v>0.21428571428571427</v>
      </c>
      <c r="U28" s="64"/>
      <c r="V28" s="34" t="s">
        <v>34</v>
      </c>
      <c r="W28" s="9">
        <f>C28+H28+M28+R28</f>
        <v>24</v>
      </c>
      <c r="X28" s="39">
        <f t="shared" si="10"/>
        <v>0.17142857142857143</v>
      </c>
    </row>
    <row r="29" spans="1:24" x14ac:dyDescent="0.15">
      <c r="A29" s="62" t="s">
        <v>35</v>
      </c>
      <c r="B29" s="35" t="s">
        <v>36</v>
      </c>
      <c r="C29" s="18">
        <f>SUM(C30:C31)</f>
        <v>38</v>
      </c>
      <c r="D29" s="11"/>
      <c r="E29" s="40"/>
      <c r="F29" s="62" t="s">
        <v>35</v>
      </c>
      <c r="G29" s="35" t="s">
        <v>36</v>
      </c>
      <c r="H29" s="18">
        <f>SUM(H30:H31)</f>
        <v>48</v>
      </c>
      <c r="I29" s="11"/>
      <c r="J29" s="40"/>
      <c r="K29" s="62" t="s">
        <v>35</v>
      </c>
      <c r="L29" s="35" t="s">
        <v>36</v>
      </c>
      <c r="M29" s="18">
        <f>SUM(M30:M31)</f>
        <v>17</v>
      </c>
      <c r="N29" s="13"/>
      <c r="O29" s="40"/>
      <c r="P29" s="62" t="s">
        <v>35</v>
      </c>
      <c r="Q29" s="35" t="s">
        <v>36</v>
      </c>
      <c r="R29" s="41">
        <v>23</v>
      </c>
      <c r="S29" s="13"/>
      <c r="U29" s="62" t="s">
        <v>35</v>
      </c>
      <c r="V29" s="35" t="s">
        <v>36</v>
      </c>
      <c r="W29" s="29">
        <f t="shared" si="0"/>
        <v>126</v>
      </c>
      <c r="X29" s="14"/>
    </row>
    <row r="30" spans="1:24" x14ac:dyDescent="0.15">
      <c r="A30" s="63"/>
      <c r="B30" s="33" t="s">
        <v>24</v>
      </c>
      <c r="C30" s="10">
        <f>[1]R2北部!Q56</f>
        <v>18</v>
      </c>
      <c r="D30" s="23">
        <f>C30/$C$29</f>
        <v>0.47368421052631576</v>
      </c>
      <c r="E30" s="40"/>
      <c r="F30" s="63"/>
      <c r="G30" s="33" t="s">
        <v>24</v>
      </c>
      <c r="H30" s="25">
        <f>[1]R2中部!Q86</f>
        <v>34</v>
      </c>
      <c r="I30" s="23">
        <f>H30/$H$29</f>
        <v>0.70833333333333337</v>
      </c>
      <c r="J30" s="40"/>
      <c r="K30" s="63"/>
      <c r="L30" s="33" t="s">
        <v>24</v>
      </c>
      <c r="M30" s="17">
        <f>[1]R2南河内!Q62</f>
        <v>14</v>
      </c>
      <c r="N30" s="26">
        <f>M30/M$29</f>
        <v>0.82352941176470584</v>
      </c>
      <c r="O30" s="40"/>
      <c r="P30" s="63"/>
      <c r="Q30" s="33" t="s">
        <v>24</v>
      </c>
      <c r="R30" s="17">
        <f>[1]R2泉州!Q87</f>
        <v>14</v>
      </c>
      <c r="S30" s="26">
        <f>R30/R29</f>
        <v>0.60869565217391308</v>
      </c>
      <c r="U30" s="63"/>
      <c r="V30" s="33" t="s">
        <v>24</v>
      </c>
      <c r="W30" s="9">
        <f t="shared" si="0"/>
        <v>80</v>
      </c>
      <c r="X30" s="14">
        <f>W30/W$29</f>
        <v>0.63492063492063489</v>
      </c>
    </row>
    <row r="31" spans="1:24" ht="12" customHeight="1" x14ac:dyDescent="0.15">
      <c r="A31" s="64"/>
      <c r="B31" s="42" t="s">
        <v>25</v>
      </c>
      <c r="C31" s="10">
        <f>[1]R2北部!S56-1</f>
        <v>20</v>
      </c>
      <c r="D31" s="23">
        <f>C31/$C$29</f>
        <v>0.52631578947368418</v>
      </c>
      <c r="E31" s="40"/>
      <c r="F31" s="64"/>
      <c r="G31" s="42" t="s">
        <v>25</v>
      </c>
      <c r="H31" s="25">
        <f>[1]R2中部!S86</f>
        <v>14</v>
      </c>
      <c r="I31" s="23">
        <f>H31/$H$29</f>
        <v>0.29166666666666669</v>
      </c>
      <c r="J31" s="40"/>
      <c r="K31" s="64"/>
      <c r="L31" s="42" t="s">
        <v>25</v>
      </c>
      <c r="M31" s="17">
        <f>[1]R2南河内!S62</f>
        <v>3</v>
      </c>
      <c r="N31" s="26">
        <f>M31/M$29</f>
        <v>0.17647058823529413</v>
      </c>
      <c r="O31" s="40"/>
      <c r="P31" s="64"/>
      <c r="Q31" s="42" t="s">
        <v>25</v>
      </c>
      <c r="R31" s="17">
        <f>[1]R2泉州!S87</f>
        <v>9</v>
      </c>
      <c r="S31" s="26">
        <f>R31/R29</f>
        <v>0.39130434782608697</v>
      </c>
      <c r="U31" s="64"/>
      <c r="V31" s="42" t="s">
        <v>25</v>
      </c>
      <c r="W31" s="9">
        <f t="shared" si="0"/>
        <v>46</v>
      </c>
      <c r="X31" s="14">
        <f>W31/W$29</f>
        <v>0.36507936507936506</v>
      </c>
    </row>
    <row r="32" spans="1:24" x14ac:dyDescent="0.15">
      <c r="A32" s="65" t="s">
        <v>37</v>
      </c>
      <c r="B32" s="35" t="s">
        <v>36</v>
      </c>
      <c r="C32" s="18">
        <f>SUM(C33:C34)</f>
        <v>37</v>
      </c>
      <c r="D32" s="11"/>
      <c r="E32" s="40"/>
      <c r="F32" s="65" t="s">
        <v>37</v>
      </c>
      <c r="G32" s="36" t="s">
        <v>36</v>
      </c>
      <c r="H32" s="19">
        <f>SUM(H33:H34)</f>
        <v>35</v>
      </c>
      <c r="I32" s="11"/>
      <c r="J32" s="40"/>
      <c r="K32" s="65" t="s">
        <v>37</v>
      </c>
      <c r="L32" s="36" t="s">
        <v>36</v>
      </c>
      <c r="M32" s="22">
        <f>SUM(M33:M34)</f>
        <v>17</v>
      </c>
      <c r="N32" s="13"/>
      <c r="O32" s="40"/>
      <c r="P32" s="65" t="s">
        <v>37</v>
      </c>
      <c r="Q32" s="36" t="s">
        <v>36</v>
      </c>
      <c r="R32" s="41">
        <f>SUM(R33:R34)</f>
        <v>25</v>
      </c>
      <c r="S32" s="13"/>
      <c r="U32" s="65" t="s">
        <v>37</v>
      </c>
      <c r="V32" s="36" t="s">
        <v>36</v>
      </c>
      <c r="W32" s="29">
        <f t="shared" si="0"/>
        <v>114</v>
      </c>
      <c r="X32" s="14"/>
    </row>
    <row r="33" spans="1:24" x14ac:dyDescent="0.15">
      <c r="A33" s="66"/>
      <c r="B33" s="37" t="s">
        <v>24</v>
      </c>
      <c r="C33" s="10">
        <f>[1]R2北部!T56</f>
        <v>10</v>
      </c>
      <c r="D33" s="23">
        <f>C33/$C$32</f>
        <v>0.27027027027027029</v>
      </c>
      <c r="E33" s="40"/>
      <c r="F33" s="66"/>
      <c r="G33" s="38" t="s">
        <v>24</v>
      </c>
      <c r="H33" s="25">
        <f>[1]R2中部!T86</f>
        <v>7</v>
      </c>
      <c r="I33" s="23">
        <f>H33/$H$32</f>
        <v>0.2</v>
      </c>
      <c r="J33" s="40"/>
      <c r="K33" s="66"/>
      <c r="L33" s="38" t="s">
        <v>24</v>
      </c>
      <c r="M33" s="17">
        <f>[1]R2南河内!T62</f>
        <v>8</v>
      </c>
      <c r="N33" s="26">
        <f>M33/M$32</f>
        <v>0.47058823529411764</v>
      </c>
      <c r="O33" s="40"/>
      <c r="P33" s="66"/>
      <c r="Q33" s="38" t="s">
        <v>24</v>
      </c>
      <c r="R33" s="17">
        <f>[1]R2泉州!T87</f>
        <v>9</v>
      </c>
      <c r="S33" s="26">
        <f>R33/R$32</f>
        <v>0.36</v>
      </c>
      <c r="U33" s="66"/>
      <c r="V33" s="38" t="s">
        <v>24</v>
      </c>
      <c r="W33" s="9">
        <f t="shared" si="0"/>
        <v>34</v>
      </c>
      <c r="X33" s="14">
        <f>W33/W$32</f>
        <v>0.2982456140350877</v>
      </c>
    </row>
    <row r="34" spans="1:24" x14ac:dyDescent="0.15">
      <c r="A34" s="67"/>
      <c r="B34" s="32" t="s">
        <v>25</v>
      </c>
      <c r="C34" s="10">
        <f>[1]R2北部!V56-1</f>
        <v>27</v>
      </c>
      <c r="D34" s="23">
        <f>C34/$C$32</f>
        <v>0.72972972972972971</v>
      </c>
      <c r="E34" s="40"/>
      <c r="F34" s="67"/>
      <c r="G34" s="34" t="s">
        <v>25</v>
      </c>
      <c r="H34" s="25">
        <f>[1]R2中部!V86</f>
        <v>28</v>
      </c>
      <c r="I34" s="23">
        <f>H34/$H$32</f>
        <v>0.8</v>
      </c>
      <c r="J34" s="40"/>
      <c r="K34" s="67"/>
      <c r="L34" s="34" t="s">
        <v>25</v>
      </c>
      <c r="M34" s="17">
        <f>[1]R2南河内!V62</f>
        <v>9</v>
      </c>
      <c r="N34" s="26">
        <f>M34/M$32</f>
        <v>0.52941176470588236</v>
      </c>
      <c r="O34" s="40"/>
      <c r="P34" s="67"/>
      <c r="Q34" s="34" t="s">
        <v>25</v>
      </c>
      <c r="R34" s="17">
        <f>[1]R2泉州!V87</f>
        <v>16</v>
      </c>
      <c r="S34" s="26">
        <f>R34/R$32</f>
        <v>0.64</v>
      </c>
      <c r="U34" s="67"/>
      <c r="V34" s="34" t="s">
        <v>25</v>
      </c>
      <c r="W34" s="9">
        <f t="shared" si="0"/>
        <v>80</v>
      </c>
      <c r="X34" s="14">
        <f>W34/W$32</f>
        <v>0.70175438596491224</v>
      </c>
    </row>
    <row r="35" spans="1:24" x14ac:dyDescent="0.15">
      <c r="A35" s="65" t="s">
        <v>38</v>
      </c>
      <c r="B35" s="35" t="s">
        <v>36</v>
      </c>
      <c r="C35" s="18">
        <f>SUM(C36:C37)</f>
        <v>32</v>
      </c>
      <c r="D35" s="11"/>
      <c r="E35" s="40"/>
      <c r="F35" s="65" t="s">
        <v>38</v>
      </c>
      <c r="G35" s="36" t="s">
        <v>36</v>
      </c>
      <c r="H35" s="19">
        <f>SUM(H36:H37)</f>
        <v>29</v>
      </c>
      <c r="I35" s="11"/>
      <c r="J35" s="40"/>
      <c r="K35" s="65" t="s">
        <v>38</v>
      </c>
      <c r="L35" s="36" t="s">
        <v>36</v>
      </c>
      <c r="M35" s="22">
        <f>SUM(M36:M37)</f>
        <v>17</v>
      </c>
      <c r="N35" s="13"/>
      <c r="O35" s="40"/>
      <c r="P35" s="65" t="s">
        <v>38</v>
      </c>
      <c r="Q35" s="36" t="s">
        <v>36</v>
      </c>
      <c r="R35" s="41">
        <f>SUM(R36:R37)</f>
        <v>26</v>
      </c>
      <c r="S35" s="13"/>
      <c r="U35" s="65" t="s">
        <v>38</v>
      </c>
      <c r="V35" s="36" t="s">
        <v>36</v>
      </c>
      <c r="W35" s="29">
        <f t="shared" si="0"/>
        <v>104</v>
      </c>
      <c r="X35" s="14"/>
    </row>
    <row r="36" spans="1:24" x14ac:dyDescent="0.15">
      <c r="A36" s="66"/>
      <c r="B36" s="43" t="s">
        <v>24</v>
      </c>
      <c r="C36" s="10">
        <f>[1]R2北部!Z56</f>
        <v>8</v>
      </c>
      <c r="D36" s="23">
        <f>C36/$C$35</f>
        <v>0.25</v>
      </c>
      <c r="E36" s="40"/>
      <c r="F36" s="66"/>
      <c r="G36" s="38" t="s">
        <v>24</v>
      </c>
      <c r="H36" s="25">
        <f>[1]R2中部!Z86</f>
        <v>1</v>
      </c>
      <c r="I36" s="23">
        <f>H36/H35</f>
        <v>3.4482758620689655E-2</v>
      </c>
      <c r="J36" s="40"/>
      <c r="K36" s="66"/>
      <c r="L36" s="38" t="s">
        <v>24</v>
      </c>
      <c r="M36" s="17">
        <f>[1]R2南河内!Z62</f>
        <v>7</v>
      </c>
      <c r="N36" s="26">
        <f>M36/M$35</f>
        <v>0.41176470588235292</v>
      </c>
      <c r="O36" s="40"/>
      <c r="P36" s="66"/>
      <c r="Q36" s="38" t="s">
        <v>24</v>
      </c>
      <c r="R36" s="17">
        <f>[1]R2泉州!Z87</f>
        <v>10</v>
      </c>
      <c r="S36" s="26">
        <f>R36/R$35</f>
        <v>0.38461538461538464</v>
      </c>
      <c r="U36" s="66"/>
      <c r="V36" s="38" t="s">
        <v>24</v>
      </c>
      <c r="W36" s="9">
        <f t="shared" si="0"/>
        <v>26</v>
      </c>
      <c r="X36" s="14">
        <f>W36/W$35</f>
        <v>0.25</v>
      </c>
    </row>
    <row r="37" spans="1:24" x14ac:dyDescent="0.15">
      <c r="A37" s="67"/>
      <c r="B37" s="34" t="s">
        <v>25</v>
      </c>
      <c r="C37" s="10">
        <f>[1]R2北部!AB56-1</f>
        <v>24</v>
      </c>
      <c r="D37" s="23">
        <f>C37/$C$35</f>
        <v>0.75</v>
      </c>
      <c r="E37" s="6"/>
      <c r="F37" s="67"/>
      <c r="G37" s="38" t="s">
        <v>25</v>
      </c>
      <c r="H37" s="25">
        <f>[1]R2中部!AB86</f>
        <v>28</v>
      </c>
      <c r="I37" s="23">
        <f>H37/H35</f>
        <v>0.96551724137931039</v>
      </c>
      <c r="J37" s="6"/>
      <c r="K37" s="67"/>
      <c r="L37" s="38" t="s">
        <v>25</v>
      </c>
      <c r="M37" s="17">
        <f>[1]R2南河内!AB62</f>
        <v>10</v>
      </c>
      <c r="N37" s="26">
        <f>M37/M$35</f>
        <v>0.58823529411764708</v>
      </c>
      <c r="O37" s="6"/>
      <c r="P37" s="67"/>
      <c r="Q37" s="38" t="s">
        <v>25</v>
      </c>
      <c r="R37" s="17">
        <f>[1]R2泉州!AB87</f>
        <v>16</v>
      </c>
      <c r="S37" s="26">
        <f>R37/R$35</f>
        <v>0.61538461538461542</v>
      </c>
      <c r="U37" s="67"/>
      <c r="V37" s="38" t="s">
        <v>25</v>
      </c>
      <c r="W37" s="9">
        <f t="shared" si="0"/>
        <v>78</v>
      </c>
      <c r="X37" s="14">
        <f>W37/W$35</f>
        <v>0.75</v>
      </c>
    </row>
    <row r="38" spans="1:24" x14ac:dyDescent="0.15">
      <c r="A38" s="60" t="s">
        <v>39</v>
      </c>
      <c r="B38" s="12" t="s">
        <v>11</v>
      </c>
      <c r="C38" s="19">
        <f>SUM(C39:C45)</f>
        <v>44</v>
      </c>
      <c r="D38" s="11"/>
      <c r="E38" s="6"/>
      <c r="F38" s="60" t="s">
        <v>39</v>
      </c>
      <c r="G38" s="3" t="s">
        <v>11</v>
      </c>
      <c r="H38" s="19">
        <f>SUM(H39:H45)</f>
        <v>50</v>
      </c>
      <c r="I38" s="11"/>
      <c r="J38" s="6"/>
      <c r="K38" s="60" t="s">
        <v>39</v>
      </c>
      <c r="L38" s="10" t="s">
        <v>11</v>
      </c>
      <c r="M38" s="22">
        <f>SUM(M39:M45)</f>
        <v>17</v>
      </c>
      <c r="N38" s="13"/>
      <c r="O38" s="6"/>
      <c r="P38" s="60" t="s">
        <v>39</v>
      </c>
      <c r="Q38" s="10" t="s">
        <v>11</v>
      </c>
      <c r="R38" s="19">
        <f>SUM(R39:R45)</f>
        <v>24</v>
      </c>
      <c r="S38" s="44"/>
      <c r="U38" s="60" t="s">
        <v>39</v>
      </c>
      <c r="V38" s="10" t="s">
        <v>11</v>
      </c>
      <c r="W38" s="29">
        <f t="shared" si="0"/>
        <v>135</v>
      </c>
      <c r="X38" s="14"/>
    </row>
    <row r="39" spans="1:24" x14ac:dyDescent="0.15">
      <c r="A39" s="60"/>
      <c r="B39" s="27" t="s">
        <v>40</v>
      </c>
      <c r="C39" s="25">
        <f>COUNTIF([1]R2北部!AI9:AI55,"&lt;=49")+1</f>
        <v>15</v>
      </c>
      <c r="D39" s="23">
        <f>C39/$C$38</f>
        <v>0.34090909090909088</v>
      </c>
      <c r="E39" s="6"/>
      <c r="F39" s="60"/>
      <c r="G39" s="27" t="s">
        <v>40</v>
      </c>
      <c r="H39" s="25">
        <f>COUNTIF([1]R2中部!AI9:AI59,"&lt;=49")+2</f>
        <v>32</v>
      </c>
      <c r="I39" s="23">
        <f>H39/$H$38</f>
        <v>0.64</v>
      </c>
      <c r="J39" s="6"/>
      <c r="K39" s="60"/>
      <c r="L39" s="28" t="s">
        <v>40</v>
      </c>
      <c r="M39" s="25">
        <f>COUNTIF([1]R2南河内!AI9:AI23,"&lt;=49")</f>
        <v>1</v>
      </c>
      <c r="N39" s="26">
        <f>M39/M$38</f>
        <v>5.8823529411764705E-2</v>
      </c>
      <c r="O39" s="6"/>
      <c r="P39" s="60"/>
      <c r="Q39" s="28" t="s">
        <v>40</v>
      </c>
      <c r="R39" s="25">
        <f>COUNTIF([1]R2泉州!AI9:AI43,"&lt;=49")</f>
        <v>4</v>
      </c>
      <c r="S39" s="26">
        <f>R39/R$38</f>
        <v>0.16666666666666666</v>
      </c>
      <c r="U39" s="60"/>
      <c r="V39" s="28" t="s">
        <v>40</v>
      </c>
      <c r="W39" s="9">
        <f t="shared" si="0"/>
        <v>52</v>
      </c>
      <c r="X39" s="14">
        <f>W39/W$38</f>
        <v>0.38518518518518519</v>
      </c>
    </row>
    <row r="40" spans="1:24" x14ac:dyDescent="0.15">
      <c r="A40" s="60"/>
      <c r="B40" s="27" t="s">
        <v>41</v>
      </c>
      <c r="C40" s="25">
        <f>COUNTIF([1]R2北部!AI9:AI55,"&lt;=99")-COUNTIF([1]R2北部!AI9:AI55,"&lt;50")</f>
        <v>12</v>
      </c>
      <c r="D40" s="23">
        <f t="shared" ref="D40:D45" si="11">C40/$C$38</f>
        <v>0.27272727272727271</v>
      </c>
      <c r="E40" s="6"/>
      <c r="F40" s="60"/>
      <c r="G40" s="27" t="s">
        <v>41</v>
      </c>
      <c r="H40" s="25">
        <f>COUNTIF([1]R2中部!AI9:AI59,"&lt;=99")-COUNTIF([1]R2中部!AI9:AI59,"&lt;50")</f>
        <v>13</v>
      </c>
      <c r="I40" s="23">
        <f t="shared" ref="I40:I45" si="12">H40/$H$38</f>
        <v>0.26</v>
      </c>
      <c r="J40" s="6"/>
      <c r="K40" s="60"/>
      <c r="L40" s="28" t="s">
        <v>41</v>
      </c>
      <c r="M40" s="25">
        <f>COUNTIF([1]R2南河内!AI9:AI23,"&lt;=99")-COUNTIF([1]R2南河内!AI9:AI23,"&lt;50")+1</f>
        <v>7</v>
      </c>
      <c r="N40" s="26">
        <f t="shared" ref="N40:N45" si="13">M40/M$38</f>
        <v>0.41176470588235292</v>
      </c>
      <c r="O40" s="6"/>
      <c r="P40" s="60"/>
      <c r="Q40" s="28" t="s">
        <v>41</v>
      </c>
      <c r="R40" s="25">
        <f>COUNTIF([1]R2泉州!AI9:AI43,"&lt;=99")-COUNTIF([1]R2泉州!AI9:AI43,"&lt;50")</f>
        <v>5</v>
      </c>
      <c r="S40" s="26">
        <f t="shared" ref="S40:S45" si="14">R40/R$38</f>
        <v>0.20833333333333334</v>
      </c>
      <c r="U40" s="60"/>
      <c r="V40" s="28" t="s">
        <v>41</v>
      </c>
      <c r="W40" s="9">
        <f t="shared" si="0"/>
        <v>37</v>
      </c>
      <c r="X40" s="14">
        <f t="shared" ref="X40:X45" si="15">W40/W$38</f>
        <v>0.27407407407407408</v>
      </c>
    </row>
    <row r="41" spans="1:24" x14ac:dyDescent="0.15">
      <c r="A41" s="60"/>
      <c r="B41" s="27" t="s">
        <v>42</v>
      </c>
      <c r="C41" s="25">
        <f>COUNTIF([1]R2北部!AI9:AI55,"&lt;=149")-COUNTIF([1]R2北部!AI9:AI55,"&lt;100")</f>
        <v>5</v>
      </c>
      <c r="D41" s="23">
        <f t="shared" si="11"/>
        <v>0.11363636363636363</v>
      </c>
      <c r="E41" s="6"/>
      <c r="F41" s="60"/>
      <c r="G41" s="27" t="s">
        <v>42</v>
      </c>
      <c r="H41" s="25">
        <f>COUNTIF([1]R2中部!AI9:AI59,"&lt;=149")-COUNTIF([1]R2中部!AI9:AI59,"&lt;100")</f>
        <v>1</v>
      </c>
      <c r="I41" s="23">
        <f t="shared" si="12"/>
        <v>0.02</v>
      </c>
      <c r="J41" s="6"/>
      <c r="K41" s="60"/>
      <c r="L41" s="28" t="s">
        <v>42</v>
      </c>
      <c r="M41" s="25">
        <f>COUNTIF([1]R2南河内!AI9:AI23,"&lt;=149")-COUNTIF([1]R2南河内!AI9:AI23,"&lt;100")+1</f>
        <v>6</v>
      </c>
      <c r="N41" s="26">
        <f t="shared" si="13"/>
        <v>0.35294117647058826</v>
      </c>
      <c r="O41" s="6"/>
      <c r="P41" s="60"/>
      <c r="Q41" s="28" t="s">
        <v>42</v>
      </c>
      <c r="R41" s="25">
        <f>COUNTIF([1]R2泉州!AI9:AI43,"&lt;=149")-COUNTIF([1]R2泉州!AI9:AI43,"&lt;100")</f>
        <v>5</v>
      </c>
      <c r="S41" s="26">
        <f t="shared" si="14"/>
        <v>0.20833333333333334</v>
      </c>
      <c r="U41" s="60"/>
      <c r="V41" s="28" t="s">
        <v>42</v>
      </c>
      <c r="W41" s="9">
        <f t="shared" si="0"/>
        <v>17</v>
      </c>
      <c r="X41" s="14">
        <f t="shared" si="15"/>
        <v>0.12592592592592591</v>
      </c>
    </row>
    <row r="42" spans="1:24" x14ac:dyDescent="0.15">
      <c r="A42" s="60"/>
      <c r="B42" s="27" t="s">
        <v>43</v>
      </c>
      <c r="C42" s="25">
        <f>COUNTIF([1]R2北部!AI9:AI55,"&lt;=199")-COUNTIF([1]R2北部!AI9:AI55,"&lt;150")</f>
        <v>2</v>
      </c>
      <c r="D42" s="23">
        <f t="shared" si="11"/>
        <v>4.5454545454545456E-2</v>
      </c>
      <c r="E42" s="6"/>
      <c r="F42" s="60"/>
      <c r="G42" s="27" t="s">
        <v>43</v>
      </c>
      <c r="H42" s="25">
        <f>COUNTIF([1]R2中部!AI9:AI59,"&lt;=199")-COUNTIF([1]R2中部!AI9:AI59,"&lt;150")</f>
        <v>3</v>
      </c>
      <c r="I42" s="23">
        <f t="shared" si="12"/>
        <v>0.06</v>
      </c>
      <c r="J42" s="6"/>
      <c r="K42" s="60"/>
      <c r="L42" s="28" t="s">
        <v>43</v>
      </c>
      <c r="M42" s="25">
        <f>COUNTIF([1]R2南河内!AI9:AI23,"&lt;=199")-COUNTIF([1]R2南河内!AI9:AI23,"&lt;150")</f>
        <v>1</v>
      </c>
      <c r="N42" s="26">
        <f t="shared" si="13"/>
        <v>5.8823529411764705E-2</v>
      </c>
      <c r="P42" s="60"/>
      <c r="Q42" s="28" t="s">
        <v>43</v>
      </c>
      <c r="R42" s="25">
        <f>COUNTIF([1]R2泉州!AI9:AI43,"&lt;=199")-COUNTIF([1]R2泉州!AI9:AI43,"&lt;150")</f>
        <v>1</v>
      </c>
      <c r="S42" s="26">
        <f t="shared" si="14"/>
        <v>4.1666666666666664E-2</v>
      </c>
      <c r="U42" s="60"/>
      <c r="V42" s="28" t="s">
        <v>43</v>
      </c>
      <c r="W42" s="9">
        <f t="shared" si="0"/>
        <v>7</v>
      </c>
      <c r="X42" s="14">
        <f t="shared" si="15"/>
        <v>5.185185185185185E-2</v>
      </c>
    </row>
    <row r="43" spans="1:24" x14ac:dyDescent="0.15">
      <c r="A43" s="60"/>
      <c r="B43" s="27" t="s">
        <v>44</v>
      </c>
      <c r="C43" s="25">
        <f>COUNTIF([1]R2北部!AI9:AI55,"&lt;=299")-COUNTIF([1]R2北部!AI9:AI55,"&lt;200")-1</f>
        <v>7</v>
      </c>
      <c r="D43" s="23">
        <f t="shared" si="11"/>
        <v>0.15909090909090909</v>
      </c>
      <c r="F43" s="60"/>
      <c r="G43" s="27" t="s">
        <v>44</v>
      </c>
      <c r="H43" s="25">
        <f>COUNTIF([1]R2中部!AI9:AI59,"&lt;=299")-COUNTIF([1]R2中部!AI9:AI59,"&lt;200")</f>
        <v>1</v>
      </c>
      <c r="I43" s="23">
        <f t="shared" si="12"/>
        <v>0.02</v>
      </c>
      <c r="K43" s="60"/>
      <c r="L43" s="28" t="s">
        <v>44</v>
      </c>
      <c r="M43" s="25">
        <f>COUNTIF([1]R2南河内!AI9:AI23,"&lt;=299")-COUNTIF([1]R2南河内!AI9:AI23,"&lt;200")</f>
        <v>0</v>
      </c>
      <c r="N43" s="26">
        <f t="shared" si="13"/>
        <v>0</v>
      </c>
      <c r="P43" s="60"/>
      <c r="Q43" s="28" t="s">
        <v>44</v>
      </c>
      <c r="R43" s="25">
        <f>COUNTIF([1]R2泉州!AI9:AI43,"&lt;=299")-COUNTIF([1]R2泉州!AI9:AI43,"&lt;200")</f>
        <v>2</v>
      </c>
      <c r="S43" s="26">
        <f t="shared" si="14"/>
        <v>8.3333333333333329E-2</v>
      </c>
      <c r="U43" s="60"/>
      <c r="V43" s="28" t="s">
        <v>44</v>
      </c>
      <c r="W43" s="9">
        <f t="shared" si="0"/>
        <v>10</v>
      </c>
      <c r="X43" s="14">
        <f t="shared" si="15"/>
        <v>7.407407407407407E-2</v>
      </c>
    </row>
    <row r="44" spans="1:24" x14ac:dyDescent="0.15">
      <c r="A44" s="60"/>
      <c r="B44" s="27" t="s">
        <v>45</v>
      </c>
      <c r="C44" s="25">
        <f>COUNTIF([1]R2北部!AI9:AI55,"&lt;=499")-COUNTIF([1]R2北部!AI9:AI55,"&lt;300")</f>
        <v>1</v>
      </c>
      <c r="D44" s="23">
        <f t="shared" si="11"/>
        <v>2.2727272727272728E-2</v>
      </c>
      <c r="F44" s="60"/>
      <c r="G44" s="27" t="s">
        <v>45</v>
      </c>
      <c r="H44" s="25">
        <f>COUNTIF([1]R2中部!AI9:AI59,"&lt;=499")-COUNTIF([1]R2中部!AI9:AI59,"&lt;300")</f>
        <v>0</v>
      </c>
      <c r="I44" s="23">
        <f t="shared" si="12"/>
        <v>0</v>
      </c>
      <c r="K44" s="60"/>
      <c r="L44" s="28" t="s">
        <v>45</v>
      </c>
      <c r="M44" s="25">
        <f>COUNTIF([1]R2南河内!AI9:AI23,"&lt;=499")-COUNTIF([1]R2南河内!AI9:AI23,"&lt;300")</f>
        <v>0</v>
      </c>
      <c r="N44" s="26">
        <f t="shared" si="13"/>
        <v>0</v>
      </c>
      <c r="P44" s="60"/>
      <c r="Q44" s="28" t="s">
        <v>45</v>
      </c>
      <c r="R44" s="25">
        <f>COUNTIF([1]R2泉州!AI9:AI43,"&lt;=499")-COUNTIF([1]R2泉州!AI9:AI43,"&lt;300")</f>
        <v>3</v>
      </c>
      <c r="S44" s="26">
        <f t="shared" si="14"/>
        <v>0.125</v>
      </c>
      <c r="U44" s="60"/>
      <c r="V44" s="28" t="s">
        <v>45</v>
      </c>
      <c r="W44" s="9">
        <f t="shared" si="0"/>
        <v>4</v>
      </c>
      <c r="X44" s="14">
        <f t="shared" si="15"/>
        <v>2.9629629629629631E-2</v>
      </c>
    </row>
    <row r="45" spans="1:24" x14ac:dyDescent="0.15">
      <c r="A45" s="61"/>
      <c r="B45" s="12" t="s">
        <v>46</v>
      </c>
      <c r="C45" s="25">
        <f>COUNTIF([1]R2北部!AI9:AI55,"&gt;=500")</f>
        <v>2</v>
      </c>
      <c r="D45" s="23">
        <f t="shared" si="11"/>
        <v>4.5454545454545456E-2</v>
      </c>
      <c r="F45" s="61"/>
      <c r="G45" s="12" t="s">
        <v>46</v>
      </c>
      <c r="H45" s="25">
        <f>COUNTIF([1]R2中部!AI9:AI59,"&gt;=500")</f>
        <v>0</v>
      </c>
      <c r="I45" s="23">
        <f t="shared" si="12"/>
        <v>0</v>
      </c>
      <c r="K45" s="61"/>
      <c r="L45" s="9" t="s">
        <v>46</v>
      </c>
      <c r="M45" s="25">
        <f>COUNTIF([1]R2南河内!AI9:AI23,"&gt;=500")</f>
        <v>2</v>
      </c>
      <c r="N45" s="26">
        <f t="shared" si="13"/>
        <v>0.11764705882352941</v>
      </c>
      <c r="P45" s="61"/>
      <c r="Q45" s="9" t="s">
        <v>46</v>
      </c>
      <c r="R45" s="25">
        <f>COUNTIF([1]R2泉州!AI9:AI43,"&gt;=500")</f>
        <v>4</v>
      </c>
      <c r="S45" s="26">
        <f t="shared" si="14"/>
        <v>0.16666666666666666</v>
      </c>
      <c r="U45" s="61"/>
      <c r="V45" s="9" t="s">
        <v>46</v>
      </c>
      <c r="W45" s="9">
        <f t="shared" si="0"/>
        <v>8</v>
      </c>
      <c r="X45" s="14">
        <f t="shared" si="15"/>
        <v>5.9259259259259262E-2</v>
      </c>
    </row>
    <row r="46" spans="1:24" ht="27.75" customHeight="1" x14ac:dyDescent="0.15">
      <c r="A46" s="59" t="s">
        <v>47</v>
      </c>
      <c r="B46" s="3" t="s">
        <v>48</v>
      </c>
      <c r="C46" s="25">
        <f>[1]R2北部!AK56-10</f>
        <v>1857</v>
      </c>
      <c r="D46" s="45"/>
      <c r="F46" s="59" t="s">
        <v>47</v>
      </c>
      <c r="G46" s="3" t="s">
        <v>48</v>
      </c>
      <c r="H46" s="25">
        <f>[1]R2中部!AK60+21</f>
        <v>1690</v>
      </c>
      <c r="I46" s="11"/>
      <c r="K46" s="59" t="s">
        <v>47</v>
      </c>
      <c r="L46" s="10" t="s">
        <v>48</v>
      </c>
      <c r="M46" s="17">
        <f>[1]R2南河内!AK62</f>
        <v>2379</v>
      </c>
      <c r="N46" s="13"/>
      <c r="P46" s="59" t="s">
        <v>47</v>
      </c>
      <c r="Q46" s="10" t="s">
        <v>48</v>
      </c>
      <c r="R46" s="17">
        <f>[1]R2泉州!AK87</f>
        <v>4438</v>
      </c>
      <c r="S46" s="13"/>
      <c r="U46" s="59" t="s">
        <v>47</v>
      </c>
      <c r="V46" s="10" t="s">
        <v>48</v>
      </c>
      <c r="W46" s="17">
        <f>C46+H46+M46+R46</f>
        <v>10364</v>
      </c>
      <c r="X46" s="14"/>
    </row>
    <row r="47" spans="1:24" x14ac:dyDescent="0.15">
      <c r="A47" s="60"/>
      <c r="B47" s="35" t="s">
        <v>11</v>
      </c>
      <c r="C47" s="19">
        <f>SUM(C48:C53)</f>
        <v>44</v>
      </c>
      <c r="D47" s="11"/>
      <c r="F47" s="60"/>
      <c r="G47" s="35" t="s">
        <v>11</v>
      </c>
      <c r="H47" s="19">
        <f>SUM(H48:H53)</f>
        <v>45</v>
      </c>
      <c r="I47" s="11"/>
      <c r="K47" s="60"/>
      <c r="L47" s="36" t="s">
        <v>11</v>
      </c>
      <c r="M47" s="22">
        <f>SUM(M48:M53)</f>
        <v>17</v>
      </c>
      <c r="N47" s="13"/>
      <c r="P47" s="60"/>
      <c r="Q47" s="36" t="s">
        <v>11</v>
      </c>
      <c r="R47" s="22">
        <f>SUM(R48:R53)</f>
        <v>44</v>
      </c>
      <c r="S47" s="13"/>
      <c r="U47" s="60"/>
      <c r="V47" s="36" t="s">
        <v>11</v>
      </c>
      <c r="W47" s="29">
        <f t="shared" si="0"/>
        <v>150</v>
      </c>
      <c r="X47" s="39"/>
    </row>
    <row r="48" spans="1:24" x14ac:dyDescent="0.15">
      <c r="A48" s="60"/>
      <c r="B48" s="37" t="s">
        <v>49</v>
      </c>
      <c r="C48" s="25">
        <f>COUNTIF([1]R2北部!AK9:AK55,"1")+COUNTIF([1]R2北部!AK9:AK55,"2")</f>
        <v>0</v>
      </c>
      <c r="D48" s="23">
        <f t="shared" ref="D48:D53" si="16">C48/$C$47</f>
        <v>0</v>
      </c>
      <c r="F48" s="60"/>
      <c r="G48" s="37" t="s">
        <v>49</v>
      </c>
      <c r="H48" s="25">
        <f>COUNTIF([1]R2中部!AK9:AK59,"1")+COUNTIF([1]R2中部!AK9:AK59,"2")+1</f>
        <v>7</v>
      </c>
      <c r="I48" s="23">
        <f t="shared" ref="I48:I49" si="17">H48/$H$47</f>
        <v>0.15555555555555556</v>
      </c>
      <c r="K48" s="60"/>
      <c r="L48" s="37" t="s">
        <v>49</v>
      </c>
      <c r="M48" s="25">
        <f>COUNTIF([1]R2南河内!AK9:AK23,"1")+COUNTIF([1]R2南河内!AK9:AK23,"2")+1</f>
        <v>2</v>
      </c>
      <c r="N48" s="26">
        <f>M48/M$47</f>
        <v>0.11764705882352941</v>
      </c>
      <c r="P48" s="60"/>
      <c r="Q48" s="37" t="s">
        <v>49</v>
      </c>
      <c r="R48" s="25">
        <f>COUNTIF([1]R2泉州!AK9:AK43,"1")+COUNTIF([1]R2泉州!AK9:AK43,"2")+9</f>
        <v>17</v>
      </c>
      <c r="S48" s="26">
        <f t="shared" ref="S48:S53" si="18">R48/R$47</f>
        <v>0.38636363636363635</v>
      </c>
      <c r="U48" s="60"/>
      <c r="V48" s="37" t="s">
        <v>49</v>
      </c>
      <c r="W48" s="17">
        <f t="shared" si="0"/>
        <v>26</v>
      </c>
      <c r="X48" s="39">
        <f t="shared" ref="X48:X53" si="19">W48/W$47</f>
        <v>0.17333333333333334</v>
      </c>
    </row>
    <row r="49" spans="1:24" x14ac:dyDescent="0.15">
      <c r="A49" s="60"/>
      <c r="B49" s="37" t="s">
        <v>50</v>
      </c>
      <c r="C49" s="25">
        <f>COUNTIF([1]R2北部!AK9:AK55,"&lt;=9")-COUNTIF([1]R2北部!AK9:AK55,"&lt;3")</f>
        <v>12</v>
      </c>
      <c r="D49" s="23">
        <f t="shared" si="16"/>
        <v>0.27272727272727271</v>
      </c>
      <c r="F49" s="60"/>
      <c r="G49" s="37" t="s">
        <v>50</v>
      </c>
      <c r="H49" s="25">
        <f>COUNTIF([1]R2中部!AK9:AK59,"&lt;=9")-COUNTIF([1]R2中部!AK9:AK59,"&lt;3")+1</f>
        <v>11</v>
      </c>
      <c r="I49" s="23">
        <f t="shared" si="17"/>
        <v>0.24444444444444444</v>
      </c>
      <c r="K49" s="60"/>
      <c r="L49" s="38" t="s">
        <v>50</v>
      </c>
      <c r="M49" s="25">
        <f>COUNTIF([1]R2南河内!AK9:AK23,"&lt;=9")-COUNTIF([1]R2南河内!AK9:AK23,"&lt;3")</f>
        <v>1</v>
      </c>
      <c r="N49" s="26">
        <f>M49/M$47</f>
        <v>5.8823529411764705E-2</v>
      </c>
      <c r="P49" s="60"/>
      <c r="Q49" s="38" t="s">
        <v>50</v>
      </c>
      <c r="R49" s="25">
        <f>COUNTIF([1]R2泉州!AK9:AK43,"&lt;=9")-COUNTIF([1]R2泉州!AK9:AK43,"&lt;3")</f>
        <v>8</v>
      </c>
      <c r="S49" s="26">
        <f t="shared" si="18"/>
        <v>0.18181818181818182</v>
      </c>
      <c r="U49" s="60"/>
      <c r="V49" s="38" t="s">
        <v>50</v>
      </c>
      <c r="W49" s="9">
        <f t="shared" si="0"/>
        <v>32</v>
      </c>
      <c r="X49" s="39">
        <f t="shared" si="19"/>
        <v>0.21333333333333335</v>
      </c>
    </row>
    <row r="50" spans="1:24" x14ac:dyDescent="0.15">
      <c r="A50" s="60"/>
      <c r="B50" s="37" t="s">
        <v>51</v>
      </c>
      <c r="C50" s="25">
        <f>COUNTIF([1]R2北部!AK9:AK55,"&lt;=24")-COUNTIF([1]R2北部!AK9:AK55,"&lt;10")-1</f>
        <v>20</v>
      </c>
      <c r="D50" s="23">
        <f t="shared" si="16"/>
        <v>0.45454545454545453</v>
      </c>
      <c r="F50" s="60"/>
      <c r="G50" s="37" t="s">
        <v>51</v>
      </c>
      <c r="H50" s="25">
        <f>COUNTIF([1]R2中部!AK9:AK59,"&lt;=24")-COUNTIF([1]R2中部!AK9:AK59,"&lt;10")+1</f>
        <v>13</v>
      </c>
      <c r="I50" s="23">
        <f>H50/$H$47</f>
        <v>0.28888888888888886</v>
      </c>
      <c r="K50" s="60"/>
      <c r="L50" s="38" t="s">
        <v>51</v>
      </c>
      <c r="M50" s="25">
        <f>COUNTIF([1]R2南河内!AK9:AK23,"&lt;=24")-COUNTIF([1]R2南河内!AK9:AK23,"&lt;10")+1</f>
        <v>4</v>
      </c>
      <c r="N50" s="26">
        <f>M50/M$47</f>
        <v>0.23529411764705882</v>
      </c>
      <c r="P50" s="60"/>
      <c r="Q50" s="38" t="s">
        <v>51</v>
      </c>
      <c r="R50" s="25">
        <f>COUNTIF([1]R2泉州!AK9:AK43,"&lt;=24")-COUNTIF([1]R2泉州!AK9:AK43,"&lt;10")</f>
        <v>9</v>
      </c>
      <c r="S50" s="26">
        <f t="shared" si="18"/>
        <v>0.20454545454545456</v>
      </c>
      <c r="U50" s="60"/>
      <c r="V50" s="38" t="s">
        <v>51</v>
      </c>
      <c r="W50" s="9">
        <f t="shared" si="0"/>
        <v>46</v>
      </c>
      <c r="X50" s="39">
        <f t="shared" si="19"/>
        <v>0.30666666666666664</v>
      </c>
    </row>
    <row r="51" spans="1:24" x14ac:dyDescent="0.15">
      <c r="A51" s="60"/>
      <c r="B51" s="37" t="s">
        <v>52</v>
      </c>
      <c r="C51" s="25">
        <f>COUNTIF([1]R2北部!AK9:AK55,"&lt;=49")-COUNTIF([1]R2北部!AK9:AK55,"&lt;25")</f>
        <v>4</v>
      </c>
      <c r="D51" s="23">
        <f t="shared" si="16"/>
        <v>9.0909090909090912E-2</v>
      </c>
      <c r="F51" s="60"/>
      <c r="G51" s="37" t="s">
        <v>52</v>
      </c>
      <c r="H51" s="25">
        <f>COUNTIF([1]R2中部!AK9:AK59,"&lt;=49")-COUNTIF([1]R2中部!AK9:AK59,"&lt;25")</f>
        <v>8</v>
      </c>
      <c r="I51" s="23">
        <f>H51/$H$47</f>
        <v>0.17777777777777778</v>
      </c>
      <c r="K51" s="60"/>
      <c r="L51" s="38" t="s">
        <v>52</v>
      </c>
      <c r="M51" s="25">
        <f>COUNTIF([1]R2南河内!AK9:AK23,"&lt;=49")-COUNTIF([1]R2南河内!AK9:AK23,"&lt;25")</f>
        <v>0</v>
      </c>
      <c r="N51" s="26">
        <f>M51/M$47</f>
        <v>0</v>
      </c>
      <c r="P51" s="60"/>
      <c r="Q51" s="38" t="s">
        <v>52</v>
      </c>
      <c r="R51" s="25">
        <f>COUNTIF([1]R2泉州!AK9:AK43,"&lt;=49")-COUNTIF([1]R2泉州!AK9:AK43,"&lt;25")</f>
        <v>2</v>
      </c>
      <c r="S51" s="26">
        <f t="shared" si="18"/>
        <v>4.5454545454545456E-2</v>
      </c>
      <c r="U51" s="60"/>
      <c r="V51" s="38" t="s">
        <v>52</v>
      </c>
      <c r="W51" s="9">
        <f t="shared" si="0"/>
        <v>14</v>
      </c>
      <c r="X51" s="39">
        <f t="shared" si="19"/>
        <v>9.3333333333333338E-2</v>
      </c>
    </row>
    <row r="52" spans="1:24" x14ac:dyDescent="0.15">
      <c r="A52" s="60"/>
      <c r="B52" s="37" t="s">
        <v>41</v>
      </c>
      <c r="C52" s="25">
        <f>COUNTIF([1]R2北部!AK9:AK55,"&lt;=99")-COUNTIF([1]R2北部!AK9:AK55,"&lt;50")</f>
        <v>3</v>
      </c>
      <c r="D52" s="23">
        <f t="shared" si="16"/>
        <v>6.8181818181818177E-2</v>
      </c>
      <c r="F52" s="60"/>
      <c r="G52" s="37" t="s">
        <v>41</v>
      </c>
      <c r="H52" s="25">
        <f>COUNTIF([1]R2中部!AK9:AK59,"&lt;=99")-COUNTIF([1]R2中部!AK9:AK59,"&lt;50")</f>
        <v>2</v>
      </c>
      <c r="I52" s="23">
        <f>H52/$H$47</f>
        <v>4.4444444444444446E-2</v>
      </c>
      <c r="K52" s="60"/>
      <c r="L52" s="38" t="s">
        <v>41</v>
      </c>
      <c r="M52" s="25">
        <f>COUNTIF([1]R2南河内!AK9:AK23,"&lt;=99")-COUNTIF([1]R2南河内!AK9:AK23,"&lt;50")</f>
        <v>5</v>
      </c>
      <c r="N52" s="26">
        <f>M52/M$47</f>
        <v>0.29411764705882354</v>
      </c>
      <c r="P52" s="60"/>
      <c r="Q52" s="38" t="s">
        <v>41</v>
      </c>
      <c r="R52" s="25">
        <f>COUNTIF([1]R2泉州!AK9:AK43,"&lt;=99")-COUNTIF([1]R2泉州!AK9:AK43,"&lt;50")</f>
        <v>0</v>
      </c>
      <c r="S52" s="26">
        <f t="shared" si="18"/>
        <v>0</v>
      </c>
      <c r="U52" s="60"/>
      <c r="V52" s="38" t="s">
        <v>41</v>
      </c>
      <c r="W52" s="9">
        <f t="shared" si="0"/>
        <v>10</v>
      </c>
      <c r="X52" s="39">
        <f t="shared" si="19"/>
        <v>6.6666666666666666E-2</v>
      </c>
    </row>
    <row r="53" spans="1:24" x14ac:dyDescent="0.15">
      <c r="A53" s="61"/>
      <c r="B53" s="32" t="s">
        <v>53</v>
      </c>
      <c r="C53" s="25">
        <f>COUNTIF([1]R2北部!AK9:AK55,"&gt;=100")</f>
        <v>5</v>
      </c>
      <c r="D53" s="23">
        <f t="shared" si="16"/>
        <v>0.11363636363636363</v>
      </c>
      <c r="F53" s="61"/>
      <c r="G53" s="32" t="s">
        <v>53</v>
      </c>
      <c r="H53" s="25">
        <f>COUNTIF([1]R2中部!AK9:AK59,"&gt;=100")</f>
        <v>4</v>
      </c>
      <c r="I53" s="23">
        <f>H53/$H$47</f>
        <v>8.8888888888888892E-2</v>
      </c>
      <c r="K53" s="61"/>
      <c r="L53" s="34" t="s">
        <v>53</v>
      </c>
      <c r="M53" s="25">
        <f>COUNTIF([1]R2南河内!AK9:AK23,"&gt;=100")</f>
        <v>5</v>
      </c>
      <c r="N53" s="26">
        <f>M53/M$47</f>
        <v>0.29411764705882354</v>
      </c>
      <c r="P53" s="61"/>
      <c r="Q53" s="34" t="s">
        <v>53</v>
      </c>
      <c r="R53" s="25">
        <f>COUNTIF([1]R2泉州!AK9:AK43,"&gt;=100")</f>
        <v>8</v>
      </c>
      <c r="S53" s="26">
        <f t="shared" si="18"/>
        <v>0.18181818181818182</v>
      </c>
      <c r="U53" s="61"/>
      <c r="V53" s="34" t="s">
        <v>53</v>
      </c>
      <c r="W53" s="9">
        <f t="shared" si="0"/>
        <v>22</v>
      </c>
      <c r="X53" s="39">
        <f t="shared" si="19"/>
        <v>0.14666666666666667</v>
      </c>
    </row>
    <row r="54" spans="1:24" x14ac:dyDescent="0.15">
      <c r="A54" s="62" t="s">
        <v>54</v>
      </c>
      <c r="B54" s="35" t="s">
        <v>55</v>
      </c>
      <c r="C54" s="19">
        <f>SUM(C55:C61)</f>
        <v>33</v>
      </c>
      <c r="D54" s="11"/>
      <c r="F54" s="62" t="s">
        <v>54</v>
      </c>
      <c r="G54" s="35" t="s">
        <v>55</v>
      </c>
      <c r="H54" s="19">
        <f>SUM(H55:H61)</f>
        <v>41</v>
      </c>
      <c r="I54" s="11"/>
      <c r="K54" s="62" t="s">
        <v>54</v>
      </c>
      <c r="L54" s="36" t="s">
        <v>55</v>
      </c>
      <c r="M54" s="22">
        <f>SUM(M55:M61)</f>
        <v>15</v>
      </c>
      <c r="N54" s="13"/>
      <c r="P54" s="62" t="s">
        <v>54</v>
      </c>
      <c r="Q54" s="36" t="s">
        <v>55</v>
      </c>
      <c r="R54" s="22">
        <f>SUM(R55:R61)</f>
        <v>16</v>
      </c>
      <c r="S54" s="13"/>
      <c r="U54" s="62" t="s">
        <v>54</v>
      </c>
      <c r="V54" s="36" t="s">
        <v>55</v>
      </c>
      <c r="W54" s="29">
        <f t="shared" si="0"/>
        <v>105</v>
      </c>
      <c r="X54" s="39"/>
    </row>
    <row r="55" spans="1:24" x14ac:dyDescent="0.15">
      <c r="A55" s="63"/>
      <c r="B55" s="37" t="s">
        <v>56</v>
      </c>
      <c r="C55" s="25">
        <f>COUNTIF([1]R2北部!AJ9:AJ55,"&lt;=99")</f>
        <v>8</v>
      </c>
      <c r="D55" s="23">
        <f t="shared" ref="D55:D61" si="20">C55/$C$54</f>
        <v>0.24242424242424243</v>
      </c>
      <c r="F55" s="63"/>
      <c r="G55" s="37" t="s">
        <v>56</v>
      </c>
      <c r="H55" s="25">
        <f>COUNTIF([1]R2中部!AJ9:AJ59,"&lt;=99")+1</f>
        <v>7</v>
      </c>
      <c r="I55" s="23">
        <f t="shared" ref="I55:I61" si="21">H55/$H$54</f>
        <v>0.17073170731707318</v>
      </c>
      <c r="K55" s="63"/>
      <c r="L55" s="38" t="s">
        <v>56</v>
      </c>
      <c r="M55" s="25">
        <f>COUNTIF([1]R2南河内!AJ9:AJ23,"&lt;=99")+1</f>
        <v>1</v>
      </c>
      <c r="N55" s="26">
        <f t="shared" ref="N55:N61" si="22">M55/M$54</f>
        <v>6.6666666666666666E-2</v>
      </c>
      <c r="P55" s="63"/>
      <c r="Q55" s="38" t="s">
        <v>56</v>
      </c>
      <c r="R55" s="25">
        <f>COUNTIF([1]R2泉州!AJ9:AJ43,"&lt;=99")</f>
        <v>3</v>
      </c>
      <c r="S55" s="26">
        <f t="shared" ref="S55:S61" si="23">R55/R$54</f>
        <v>0.1875</v>
      </c>
      <c r="U55" s="63"/>
      <c r="V55" s="38" t="s">
        <v>56</v>
      </c>
      <c r="W55" s="9">
        <f t="shared" si="0"/>
        <v>19</v>
      </c>
      <c r="X55" s="39">
        <f>W55/W$54</f>
        <v>0.18095238095238095</v>
      </c>
    </row>
    <row r="56" spans="1:24" x14ac:dyDescent="0.15">
      <c r="A56" s="63"/>
      <c r="B56" s="37" t="s">
        <v>57</v>
      </c>
      <c r="C56" s="25">
        <f>COUNTIF([1]R2北部!AJ9:AJ55,"&lt;=499")-COUNTIF([1]R2北部!AJ9:AJ55,"&lt;100")</f>
        <v>13</v>
      </c>
      <c r="D56" s="23">
        <f t="shared" si="20"/>
        <v>0.39393939393939392</v>
      </c>
      <c r="F56" s="63"/>
      <c r="G56" s="37" t="s">
        <v>57</v>
      </c>
      <c r="H56" s="25">
        <f>COUNTIF([1]R2中部!AJ9:AJ59,"&lt;=499")-COUNTIF([1]R2中部!AJ9:AJ59,"&lt;100")+1</f>
        <v>18</v>
      </c>
      <c r="I56" s="23">
        <f t="shared" si="21"/>
        <v>0.43902439024390244</v>
      </c>
      <c r="K56" s="63"/>
      <c r="L56" s="38" t="s">
        <v>57</v>
      </c>
      <c r="M56" s="25">
        <f>COUNTIF([1]R2南河内!AJ9:AJ23,"&lt;=499")-COUNTIF([1]R2南河内!AJ9:AJ23,"&lt;100")</f>
        <v>3</v>
      </c>
      <c r="N56" s="26">
        <f t="shared" si="22"/>
        <v>0.2</v>
      </c>
      <c r="P56" s="63"/>
      <c r="Q56" s="38" t="s">
        <v>57</v>
      </c>
      <c r="R56" s="25">
        <f>COUNTIF([1]R2泉州!AJ9:AJ43,"&lt;=499")-COUNTIF([1]R2泉州!AJ9:AJ43,"&lt;100")</f>
        <v>3</v>
      </c>
      <c r="S56" s="26">
        <f t="shared" si="23"/>
        <v>0.1875</v>
      </c>
      <c r="U56" s="63"/>
      <c r="V56" s="38" t="s">
        <v>57</v>
      </c>
      <c r="W56" s="9">
        <f t="shared" si="0"/>
        <v>37</v>
      </c>
      <c r="X56" s="39">
        <f t="shared" ref="X56:X61" si="24">W56/W$54</f>
        <v>0.35238095238095241</v>
      </c>
    </row>
    <row r="57" spans="1:24" x14ac:dyDescent="0.15">
      <c r="A57" s="63"/>
      <c r="B57" s="37" t="s">
        <v>58</v>
      </c>
      <c r="C57" s="25">
        <f>COUNTIF([1]R2北部!AJ9:AJ55,"&lt;=999")-COUNTIF([1]R2北部!AJ9:AJ55,"&lt;500")</f>
        <v>5</v>
      </c>
      <c r="D57" s="23">
        <f t="shared" si="20"/>
        <v>0.15151515151515152</v>
      </c>
      <c r="F57" s="63"/>
      <c r="G57" s="37" t="s">
        <v>58</v>
      </c>
      <c r="H57" s="25">
        <f>COUNTIF([1]R2中部!AJ9:AJ59,"&lt;=999")-COUNTIF([1]R2中部!AJ9:AJ59,"&lt;500")</f>
        <v>3</v>
      </c>
      <c r="I57" s="23">
        <f t="shared" si="21"/>
        <v>7.3170731707317069E-2</v>
      </c>
      <c r="K57" s="63"/>
      <c r="L57" s="38" t="s">
        <v>58</v>
      </c>
      <c r="M57" s="25">
        <f>COUNTIF([1]R2南河内!AJ9:AJ23,"&lt;=999")-COUNTIF([1]R2南河内!AJ9:AJ23,"&lt;500")</f>
        <v>2</v>
      </c>
      <c r="N57" s="26">
        <f t="shared" si="22"/>
        <v>0.13333333333333333</v>
      </c>
      <c r="P57" s="63"/>
      <c r="Q57" s="38" t="s">
        <v>58</v>
      </c>
      <c r="R57" s="25">
        <f>COUNTIF([1]R2泉州!AJ9:AJ43,"&lt;=999")-COUNTIF([1]R2泉州!AJ9:AJ43,"&lt;500")</f>
        <v>1</v>
      </c>
      <c r="S57" s="26">
        <f t="shared" si="23"/>
        <v>6.25E-2</v>
      </c>
      <c r="U57" s="63"/>
      <c r="V57" s="38" t="s">
        <v>58</v>
      </c>
      <c r="W57" s="9">
        <f t="shared" si="0"/>
        <v>11</v>
      </c>
      <c r="X57" s="39">
        <f t="shared" si="24"/>
        <v>0.10476190476190476</v>
      </c>
    </row>
    <row r="58" spans="1:24" x14ac:dyDescent="0.15">
      <c r="A58" s="63"/>
      <c r="B58" s="37" t="s">
        <v>59</v>
      </c>
      <c r="C58" s="25">
        <f>COUNTIF([1]R2北部!AJ9:AJ55,"&lt;=1999")-COUNTIF([1]R2北部!AJ9:AJ55,"&lt;1000")</f>
        <v>2</v>
      </c>
      <c r="D58" s="23">
        <f t="shared" si="20"/>
        <v>6.0606060606060608E-2</v>
      </c>
      <c r="F58" s="63"/>
      <c r="G58" s="37" t="s">
        <v>59</v>
      </c>
      <c r="H58" s="25">
        <f>COUNTIF([1]R2中部!AJ9:AJ59,"&lt;=1999")-COUNTIF([1]R2中部!AJ9:AJ59,"&lt;1000")</f>
        <v>5</v>
      </c>
      <c r="I58" s="23">
        <f t="shared" si="21"/>
        <v>0.12195121951219512</v>
      </c>
      <c r="K58" s="63"/>
      <c r="L58" s="38" t="s">
        <v>59</v>
      </c>
      <c r="M58" s="25">
        <f>COUNTIF([1]R2南河内!AJ9:AJ23,"&lt;=1999")-COUNTIF([1]R2南河内!AJ9:AJ23,"&lt;1000")</f>
        <v>1</v>
      </c>
      <c r="N58" s="26">
        <f t="shared" si="22"/>
        <v>6.6666666666666666E-2</v>
      </c>
      <c r="P58" s="63"/>
      <c r="Q58" s="38" t="s">
        <v>59</v>
      </c>
      <c r="R58" s="25">
        <f>COUNTIF([1]R2泉州!AJ9:AJ43,"&lt;=1999")-COUNTIF([1]R2泉州!AJ9:AJ43,"&lt;1000")</f>
        <v>1</v>
      </c>
      <c r="S58" s="26">
        <f t="shared" si="23"/>
        <v>6.25E-2</v>
      </c>
      <c r="U58" s="63"/>
      <c r="V58" s="38" t="s">
        <v>59</v>
      </c>
      <c r="W58" s="9">
        <f t="shared" si="0"/>
        <v>9</v>
      </c>
      <c r="X58" s="39">
        <f t="shared" si="24"/>
        <v>8.5714285714285715E-2</v>
      </c>
    </row>
    <row r="59" spans="1:24" x14ac:dyDescent="0.15">
      <c r="A59" s="63"/>
      <c r="B59" s="37" t="s">
        <v>60</v>
      </c>
      <c r="C59" s="25">
        <f>COUNTIF([1]R2北部!AJ9:AJ55,"&lt;=4999")-COUNTIF([1]R2北部!AJ9:AJ55,"&lt;2000")</f>
        <v>1</v>
      </c>
      <c r="D59" s="23">
        <f t="shared" si="20"/>
        <v>3.0303030303030304E-2</v>
      </c>
      <c r="F59" s="63"/>
      <c r="G59" s="37" t="s">
        <v>60</v>
      </c>
      <c r="H59" s="25">
        <f>COUNTIF([1]R2中部!AJ9:AJ59,"&lt;=4999")-COUNTIF([1]R2中部!AJ9:AJ59,"&lt;2000")</f>
        <v>5</v>
      </c>
      <c r="I59" s="23">
        <f t="shared" si="21"/>
        <v>0.12195121951219512</v>
      </c>
      <c r="K59" s="63"/>
      <c r="L59" s="38" t="s">
        <v>60</v>
      </c>
      <c r="M59" s="25">
        <f>COUNTIF([1]R2南河内!AJ9:AJ23,"&lt;=4999")-COUNTIF([1]R2南河内!AJ9:AJ23,"&lt;2000")</f>
        <v>3</v>
      </c>
      <c r="N59" s="26">
        <f t="shared" si="22"/>
        <v>0.2</v>
      </c>
      <c r="P59" s="63"/>
      <c r="Q59" s="38" t="s">
        <v>60</v>
      </c>
      <c r="R59" s="25">
        <f>COUNTIF([1]R2泉州!AJ9:AJ43,"&lt;=4999")-COUNTIF([1]R2泉州!AJ9:AJ43,"&lt;2000")</f>
        <v>0</v>
      </c>
      <c r="S59" s="26">
        <f t="shared" si="23"/>
        <v>0</v>
      </c>
      <c r="U59" s="63"/>
      <c r="V59" s="38" t="s">
        <v>60</v>
      </c>
      <c r="W59" s="9">
        <f t="shared" si="0"/>
        <v>9</v>
      </c>
      <c r="X59" s="39">
        <f t="shared" si="24"/>
        <v>8.5714285714285715E-2</v>
      </c>
    </row>
    <row r="60" spans="1:24" x14ac:dyDescent="0.15">
      <c r="A60" s="63"/>
      <c r="B60" s="37" t="s">
        <v>61</v>
      </c>
      <c r="C60" s="25">
        <f>COUNTIF([1]R2北部!AJ9:AJ55,"&lt;=9999")-COUNTIF([1]R2北部!AJ9:AJ55,"&lt;4999")</f>
        <v>1</v>
      </c>
      <c r="D60" s="23">
        <f t="shared" si="20"/>
        <v>3.0303030303030304E-2</v>
      </c>
      <c r="F60" s="63"/>
      <c r="G60" s="37" t="s">
        <v>61</v>
      </c>
      <c r="H60" s="25">
        <f>COUNTIF([1]R2中部!AJ9:AJ59,"&lt;=9999")-COUNTIF([1]R2中部!AJ9:AJ59,"&lt;4999")</f>
        <v>1</v>
      </c>
      <c r="I60" s="23">
        <f t="shared" si="21"/>
        <v>2.4390243902439025E-2</v>
      </c>
      <c r="K60" s="63"/>
      <c r="L60" s="38" t="s">
        <v>61</v>
      </c>
      <c r="M60" s="25">
        <f>COUNTIF([1]R2南河内!AJ9:AJ23,"&lt;=9999")-COUNTIF([1]R2南河内!AJ9:AJ23,"&lt;4999")</f>
        <v>1</v>
      </c>
      <c r="N60" s="26">
        <f t="shared" si="22"/>
        <v>6.6666666666666666E-2</v>
      </c>
      <c r="P60" s="63"/>
      <c r="Q60" s="38" t="s">
        <v>61</v>
      </c>
      <c r="R60" s="25">
        <f>COUNTIF([1]R2泉州!AJ9:AJ43,"&lt;=9999")-COUNTIF([1]R2泉州!AJ9:AJ43,"&lt;4999")</f>
        <v>1</v>
      </c>
      <c r="S60" s="26">
        <f t="shared" si="23"/>
        <v>6.25E-2</v>
      </c>
      <c r="U60" s="63"/>
      <c r="V60" s="38" t="s">
        <v>61</v>
      </c>
      <c r="W60" s="9">
        <f t="shared" si="0"/>
        <v>4</v>
      </c>
      <c r="X60" s="39">
        <f t="shared" si="24"/>
        <v>3.8095238095238099E-2</v>
      </c>
    </row>
    <row r="61" spans="1:24" ht="12" customHeight="1" x14ac:dyDescent="0.15">
      <c r="A61" s="64"/>
      <c r="B61" s="32" t="s">
        <v>62</v>
      </c>
      <c r="C61" s="25">
        <f>COUNTIF([1]R2北部!AJ9:AJ55,"&gt;=10000")</f>
        <v>3</v>
      </c>
      <c r="D61" s="23">
        <f t="shared" si="20"/>
        <v>9.0909090909090912E-2</v>
      </c>
      <c r="F61" s="64"/>
      <c r="G61" s="32" t="s">
        <v>62</v>
      </c>
      <c r="H61" s="25">
        <f>COUNTIF([1]R2中部!AJ9:AJ59,"&gt;=10000")</f>
        <v>2</v>
      </c>
      <c r="I61" s="23">
        <f t="shared" si="21"/>
        <v>4.878048780487805E-2</v>
      </c>
      <c r="K61" s="64"/>
      <c r="L61" s="34" t="s">
        <v>62</v>
      </c>
      <c r="M61" s="25">
        <f>COUNTIF([1]R2南河内!AJ9:AJ23,"&gt;=10000")</f>
        <v>4</v>
      </c>
      <c r="N61" s="26">
        <f t="shared" si="22"/>
        <v>0.26666666666666666</v>
      </c>
      <c r="P61" s="64"/>
      <c r="Q61" s="34" t="s">
        <v>62</v>
      </c>
      <c r="R61" s="25">
        <f>COUNTIF([1]R2泉州!AJ9:AJ43,"&gt;=10000")</f>
        <v>7</v>
      </c>
      <c r="S61" s="26">
        <f t="shared" si="23"/>
        <v>0.4375</v>
      </c>
      <c r="U61" s="64"/>
      <c r="V61" s="34" t="s">
        <v>62</v>
      </c>
      <c r="W61" s="9">
        <f t="shared" si="0"/>
        <v>16</v>
      </c>
      <c r="X61" s="39">
        <f t="shared" si="24"/>
        <v>0.15238095238095239</v>
      </c>
    </row>
    <row r="62" spans="1:24" x14ac:dyDescent="0.15">
      <c r="A62" s="58" t="s">
        <v>63</v>
      </c>
      <c r="B62" s="35" t="s">
        <v>36</v>
      </c>
      <c r="C62" s="19">
        <f>SUM(C63:C64)</f>
        <v>34</v>
      </c>
      <c r="D62" s="11"/>
      <c r="F62" s="58" t="s">
        <v>63</v>
      </c>
      <c r="G62" s="36" t="s">
        <v>36</v>
      </c>
      <c r="H62" s="19">
        <f>SUM(H63:H64)</f>
        <v>34</v>
      </c>
      <c r="I62" s="11"/>
      <c r="K62" s="58" t="s">
        <v>63</v>
      </c>
      <c r="L62" s="36" t="s">
        <v>36</v>
      </c>
      <c r="M62" s="22">
        <f>SUM(M63:M64)</f>
        <v>17</v>
      </c>
      <c r="N62" s="13"/>
      <c r="P62" s="58" t="s">
        <v>63</v>
      </c>
      <c r="Q62" s="36" t="s">
        <v>36</v>
      </c>
      <c r="R62" s="22">
        <f>SUM(R63:R64)</f>
        <v>27</v>
      </c>
      <c r="S62" s="13"/>
      <c r="U62" s="58" t="s">
        <v>63</v>
      </c>
      <c r="V62" s="36" t="s">
        <v>36</v>
      </c>
      <c r="W62" s="29">
        <f t="shared" si="0"/>
        <v>112</v>
      </c>
      <c r="X62" s="14"/>
    </row>
    <row r="63" spans="1:24" x14ac:dyDescent="0.15">
      <c r="A63" s="58"/>
      <c r="B63" s="37" t="s">
        <v>24</v>
      </c>
      <c r="C63" s="25">
        <f>[1]R2北部!AL87</f>
        <v>13</v>
      </c>
      <c r="D63" s="23">
        <f>C63/$C$62</f>
        <v>0.38235294117647056</v>
      </c>
      <c r="F63" s="58"/>
      <c r="G63" s="38" t="s">
        <v>24</v>
      </c>
      <c r="H63" s="25">
        <f>[1]R2中部!AL60</f>
        <v>14</v>
      </c>
      <c r="I63" s="23">
        <f>H63/$H$62</f>
        <v>0.41176470588235292</v>
      </c>
      <c r="K63" s="58"/>
      <c r="L63" s="38" t="s">
        <v>24</v>
      </c>
      <c r="M63" s="17">
        <f>[1]R2南河内!AL62</f>
        <v>12</v>
      </c>
      <c r="N63" s="26">
        <f>M63/M$62</f>
        <v>0.70588235294117652</v>
      </c>
      <c r="P63" s="58"/>
      <c r="Q63" s="38" t="s">
        <v>24</v>
      </c>
      <c r="R63" s="17">
        <f>[1]R2泉州!AL87</f>
        <v>8</v>
      </c>
      <c r="S63" s="26">
        <f>R63/R$62</f>
        <v>0.29629629629629628</v>
      </c>
      <c r="U63" s="58"/>
      <c r="V63" s="38" t="s">
        <v>24</v>
      </c>
      <c r="W63" s="9">
        <f t="shared" si="0"/>
        <v>47</v>
      </c>
      <c r="X63" s="14">
        <f>W63/W$62</f>
        <v>0.41964285714285715</v>
      </c>
    </row>
    <row r="64" spans="1:24" ht="12" customHeight="1" x14ac:dyDescent="0.15">
      <c r="A64" s="58"/>
      <c r="B64" s="37" t="s">
        <v>25</v>
      </c>
      <c r="C64" s="25">
        <f>[1]R2北部!AM87</f>
        <v>21</v>
      </c>
      <c r="D64" s="23">
        <f>C64/$C$62</f>
        <v>0.61764705882352944</v>
      </c>
      <c r="F64" s="58"/>
      <c r="G64" s="38" t="s">
        <v>25</v>
      </c>
      <c r="H64" s="25">
        <f>[1]R2中部!AM60+3</f>
        <v>20</v>
      </c>
      <c r="I64" s="23">
        <f>H64/$H$62</f>
        <v>0.58823529411764708</v>
      </c>
      <c r="K64" s="58"/>
      <c r="L64" s="38" t="s">
        <v>25</v>
      </c>
      <c r="M64" s="17">
        <f>[1]R2南河内!AM62</f>
        <v>5</v>
      </c>
      <c r="N64" s="26">
        <f>M64/M$62</f>
        <v>0.29411764705882354</v>
      </c>
      <c r="P64" s="58"/>
      <c r="Q64" s="38" t="s">
        <v>25</v>
      </c>
      <c r="R64" s="17">
        <f>[1]R2泉州!AM87</f>
        <v>19</v>
      </c>
      <c r="S64" s="26">
        <f>R64/R$62</f>
        <v>0.70370370370370372</v>
      </c>
      <c r="U64" s="58"/>
      <c r="V64" s="38" t="s">
        <v>25</v>
      </c>
      <c r="W64" s="9">
        <f t="shared" si="0"/>
        <v>65</v>
      </c>
      <c r="X64" s="14">
        <f>W64/W$62</f>
        <v>0.5803571428571429</v>
      </c>
    </row>
    <row r="65" spans="1:24" x14ac:dyDescent="0.15">
      <c r="A65" s="58" t="s">
        <v>64</v>
      </c>
      <c r="B65" s="35" t="s">
        <v>36</v>
      </c>
      <c r="C65" s="19">
        <f>SUM(C66:C67)</f>
        <v>34</v>
      </c>
      <c r="D65" s="11"/>
      <c r="F65" s="58" t="s">
        <v>64</v>
      </c>
      <c r="G65" s="36" t="s">
        <v>36</v>
      </c>
      <c r="H65" s="19">
        <f>SUM(H66:H67)</f>
        <v>32</v>
      </c>
      <c r="I65" s="11"/>
      <c r="K65" s="58" t="s">
        <v>64</v>
      </c>
      <c r="L65" s="36" t="s">
        <v>36</v>
      </c>
      <c r="M65" s="22">
        <f>SUM(M66:M67)</f>
        <v>17</v>
      </c>
      <c r="N65" s="13"/>
      <c r="P65" s="58" t="s">
        <v>64</v>
      </c>
      <c r="Q65" s="36" t="s">
        <v>36</v>
      </c>
      <c r="R65" s="22">
        <f>SUM(R66:R67)</f>
        <v>25</v>
      </c>
      <c r="S65" s="13"/>
      <c r="U65" s="58" t="s">
        <v>64</v>
      </c>
      <c r="V65" s="36" t="s">
        <v>36</v>
      </c>
      <c r="W65" s="29">
        <f t="shared" si="0"/>
        <v>108</v>
      </c>
      <c r="X65" s="14"/>
    </row>
    <row r="66" spans="1:24" x14ac:dyDescent="0.15">
      <c r="A66" s="58"/>
      <c r="B66" s="37" t="s">
        <v>24</v>
      </c>
      <c r="C66" s="25">
        <f>[1]R2北部!AN87</f>
        <v>20</v>
      </c>
      <c r="D66" s="23">
        <f>C66/$C$65</f>
        <v>0.58823529411764708</v>
      </c>
      <c r="F66" s="58"/>
      <c r="G66" s="38" t="s">
        <v>24</v>
      </c>
      <c r="H66" s="25">
        <f>[1]R2中部!AN60+2</f>
        <v>28</v>
      </c>
      <c r="I66" s="68">
        <f>H66/$H$65</f>
        <v>0.875</v>
      </c>
      <c r="K66" s="58"/>
      <c r="L66" s="38" t="s">
        <v>24</v>
      </c>
      <c r="M66" s="17">
        <f>[1]R2南河内!AN62</f>
        <v>12</v>
      </c>
      <c r="N66" s="26">
        <f>M66/M$65</f>
        <v>0.70588235294117652</v>
      </c>
      <c r="P66" s="58"/>
      <c r="Q66" s="38" t="s">
        <v>24</v>
      </c>
      <c r="R66" s="17">
        <f>[1]R2泉州!AN87</f>
        <v>16</v>
      </c>
      <c r="S66" s="26">
        <f>R66/R$65</f>
        <v>0.64</v>
      </c>
      <c r="U66" s="58"/>
      <c r="V66" s="38" t="s">
        <v>24</v>
      </c>
      <c r="W66" s="9">
        <f t="shared" si="0"/>
        <v>76</v>
      </c>
      <c r="X66" s="14">
        <f>W66/W$65</f>
        <v>0.70370370370370372</v>
      </c>
    </row>
    <row r="67" spans="1:24" ht="12" customHeight="1" x14ac:dyDescent="0.15">
      <c r="A67" s="58"/>
      <c r="B67" s="37" t="s">
        <v>25</v>
      </c>
      <c r="C67" s="25">
        <f>[1]R2北部!AO87-1</f>
        <v>14</v>
      </c>
      <c r="D67" s="23">
        <f>C67/$C$65</f>
        <v>0.41176470588235292</v>
      </c>
      <c r="F67" s="58"/>
      <c r="G67" s="38" t="s">
        <v>25</v>
      </c>
      <c r="H67" s="25">
        <f>[1]R2中部!AO60</f>
        <v>4</v>
      </c>
      <c r="I67" s="68">
        <f>H67/$H$65</f>
        <v>0.125</v>
      </c>
      <c r="K67" s="58"/>
      <c r="L67" s="38" t="s">
        <v>25</v>
      </c>
      <c r="M67" s="17">
        <f>[1]R2南河内!AO62</f>
        <v>5</v>
      </c>
      <c r="N67" s="26">
        <f>M67/M$65</f>
        <v>0.29411764705882354</v>
      </c>
      <c r="P67" s="58"/>
      <c r="Q67" s="38" t="s">
        <v>25</v>
      </c>
      <c r="R67" s="17">
        <f>[1]R2泉州!AO87</f>
        <v>9</v>
      </c>
      <c r="S67" s="26">
        <f>R67/R$65</f>
        <v>0.36</v>
      </c>
      <c r="U67" s="58"/>
      <c r="V67" s="38" t="s">
        <v>25</v>
      </c>
      <c r="W67" s="9">
        <f t="shared" si="0"/>
        <v>32</v>
      </c>
      <c r="X67" s="14">
        <f>W67/$W$65</f>
        <v>0.29629629629629628</v>
      </c>
    </row>
    <row r="68" spans="1:24" x14ac:dyDescent="0.15">
      <c r="A68" s="56" t="s">
        <v>65</v>
      </c>
      <c r="B68" s="35" t="s">
        <v>36</v>
      </c>
      <c r="C68" s="19">
        <f>SUM(C69:C70)</f>
        <v>34</v>
      </c>
      <c r="D68" s="11"/>
      <c r="F68" s="56" t="s">
        <v>65</v>
      </c>
      <c r="G68" s="36" t="s">
        <v>36</v>
      </c>
      <c r="H68" s="19">
        <f>SUM(H69:H70)</f>
        <v>33</v>
      </c>
      <c r="I68" s="11"/>
      <c r="K68" s="56" t="s">
        <v>65</v>
      </c>
      <c r="L68" s="36" t="s">
        <v>36</v>
      </c>
      <c r="M68" s="22">
        <f>SUM(M69:M70)</f>
        <v>16</v>
      </c>
      <c r="N68" s="13"/>
      <c r="P68" s="56" t="s">
        <v>65</v>
      </c>
      <c r="Q68" s="36" t="s">
        <v>36</v>
      </c>
      <c r="R68" s="22">
        <f>SUM(R69:R70)</f>
        <v>28</v>
      </c>
      <c r="S68" s="13"/>
      <c r="U68" s="56" t="s">
        <v>65</v>
      </c>
      <c r="V68" s="36" t="s">
        <v>36</v>
      </c>
      <c r="W68" s="29">
        <f t="shared" si="0"/>
        <v>111</v>
      </c>
      <c r="X68" s="14"/>
    </row>
    <row r="69" spans="1:24" x14ac:dyDescent="0.15">
      <c r="A69" s="57"/>
      <c r="B69" s="37" t="s">
        <v>24</v>
      </c>
      <c r="C69" s="25">
        <f>[1]R2北部!AP87</f>
        <v>16</v>
      </c>
      <c r="D69" s="23">
        <f>C69/$C$68</f>
        <v>0.47058823529411764</v>
      </c>
      <c r="F69" s="57"/>
      <c r="G69" s="38" t="s">
        <v>24</v>
      </c>
      <c r="H69" s="25">
        <f>[1]R2中部!AP60+2</f>
        <v>23</v>
      </c>
      <c r="I69" s="23">
        <f>H69/$H$68</f>
        <v>0.69696969696969702</v>
      </c>
      <c r="K69" s="57"/>
      <c r="L69" s="38" t="s">
        <v>24</v>
      </c>
      <c r="M69" s="17">
        <f>[1]R2南河内!AP62</f>
        <v>9</v>
      </c>
      <c r="N69" s="26">
        <f>M69/M$68</f>
        <v>0.5625</v>
      </c>
      <c r="P69" s="57"/>
      <c r="Q69" s="38" t="s">
        <v>24</v>
      </c>
      <c r="R69" s="17">
        <f>[1]R2泉州!AP87</f>
        <v>16</v>
      </c>
      <c r="S69" s="26">
        <f>R69/R$68</f>
        <v>0.5714285714285714</v>
      </c>
      <c r="U69" s="57"/>
      <c r="V69" s="38" t="s">
        <v>24</v>
      </c>
      <c r="W69" s="9">
        <f t="shared" si="0"/>
        <v>64</v>
      </c>
      <c r="X69" s="14">
        <f>W69/W$68</f>
        <v>0.57657657657657657</v>
      </c>
    </row>
    <row r="70" spans="1:24" x14ac:dyDescent="0.15">
      <c r="A70" s="57"/>
      <c r="B70" s="32" t="s">
        <v>25</v>
      </c>
      <c r="C70" s="25">
        <f>[1]R2北部!AQ87-1</f>
        <v>18</v>
      </c>
      <c r="D70" s="23">
        <f>C70/$C$68</f>
        <v>0.52941176470588236</v>
      </c>
      <c r="F70" s="57"/>
      <c r="G70" s="34" t="s">
        <v>25</v>
      </c>
      <c r="H70" s="17">
        <f>[1]R2中部!AQ60</f>
        <v>10</v>
      </c>
      <c r="I70" s="23">
        <f>H70/$H$68</f>
        <v>0.30303030303030304</v>
      </c>
      <c r="K70" s="57"/>
      <c r="L70" s="34" t="s">
        <v>25</v>
      </c>
      <c r="M70" s="17">
        <f>[1]R2南河内!AQ62</f>
        <v>7</v>
      </c>
      <c r="N70" s="26">
        <f>M70/M$68</f>
        <v>0.4375</v>
      </c>
      <c r="P70" s="57"/>
      <c r="Q70" s="34" t="s">
        <v>25</v>
      </c>
      <c r="R70" s="17">
        <f>[1]R2泉州!AQ87</f>
        <v>12</v>
      </c>
      <c r="S70" s="26">
        <f>R70/R$68</f>
        <v>0.42857142857142855</v>
      </c>
      <c r="U70" s="57"/>
      <c r="V70" s="34" t="s">
        <v>25</v>
      </c>
      <c r="W70" s="9">
        <f t="shared" ref="W70" si="25">C70+H70+M70+R70</f>
        <v>47</v>
      </c>
      <c r="X70" s="14">
        <f>W70/W$68</f>
        <v>0.42342342342342343</v>
      </c>
    </row>
    <row r="71" spans="1:24" x14ac:dyDescent="0.15">
      <c r="A71" s="46"/>
      <c r="B71" s="33"/>
      <c r="C71" s="47"/>
      <c r="D71" s="48"/>
      <c r="F71" s="46"/>
      <c r="G71" s="33"/>
      <c r="H71" s="47"/>
      <c r="I71" s="48"/>
      <c r="K71" s="46"/>
      <c r="L71" s="33"/>
      <c r="M71" s="47"/>
      <c r="N71" s="49"/>
      <c r="P71" s="46"/>
      <c r="Q71" s="33"/>
      <c r="R71" s="47"/>
      <c r="S71" s="49"/>
      <c r="U71" s="46"/>
      <c r="V71" s="33"/>
      <c r="W71" s="47"/>
      <c r="X71" s="49"/>
    </row>
    <row r="72" spans="1:24" x14ac:dyDescent="0.15">
      <c r="A72" s="46"/>
      <c r="B72" s="33"/>
      <c r="C72" s="47"/>
      <c r="D72" s="48"/>
      <c r="F72" s="46"/>
      <c r="G72" s="33"/>
      <c r="H72" s="47"/>
      <c r="I72" s="48"/>
      <c r="K72" s="46"/>
      <c r="L72" s="33"/>
      <c r="M72" s="47"/>
      <c r="N72" s="49"/>
      <c r="P72" s="46"/>
      <c r="Q72" s="33"/>
      <c r="R72" s="47"/>
      <c r="S72" s="49"/>
      <c r="U72" s="46"/>
      <c r="V72" s="33"/>
      <c r="W72" s="47"/>
      <c r="X72" s="49"/>
    </row>
    <row r="73" spans="1:24" x14ac:dyDescent="0.15">
      <c r="A73" s="40" t="s">
        <v>66</v>
      </c>
      <c r="B73" s="50">
        <f>[1]R2北部!AJ87</f>
        <v>80156</v>
      </c>
      <c r="C73" s="6"/>
      <c r="D73" s="6"/>
      <c r="F73" s="40" t="s">
        <v>66</v>
      </c>
      <c r="G73" s="51">
        <f>[1]R2中部!AJ60+[1]R2中部!AJ68</f>
        <v>73667</v>
      </c>
      <c r="H73" s="47"/>
      <c r="I73" s="48"/>
      <c r="K73" s="40" t="s">
        <v>66</v>
      </c>
      <c r="L73" s="51">
        <f>[1]R2南河内!AJ62</f>
        <v>235565</v>
      </c>
      <c r="M73" s="47"/>
      <c r="N73" s="49"/>
      <c r="P73" s="40" t="s">
        <v>66</v>
      </c>
      <c r="Q73" s="51">
        <f>[1]R2泉州!AJ87</f>
        <v>491798</v>
      </c>
      <c r="R73" s="47"/>
      <c r="S73" s="49"/>
      <c r="U73" s="40" t="s">
        <v>66</v>
      </c>
      <c r="V73" s="51">
        <f>B73+G73+L73+Q73</f>
        <v>881186</v>
      </c>
      <c r="W73" s="47"/>
      <c r="X73" s="49"/>
    </row>
    <row r="74" spans="1:24" x14ac:dyDescent="0.15">
      <c r="A74" s="40" t="s">
        <v>67</v>
      </c>
      <c r="B74" s="50">
        <f>[1]R2北部!AI87</f>
        <v>6334.3499999999995</v>
      </c>
      <c r="C74" s="6"/>
      <c r="D74" s="6"/>
      <c r="F74" s="40" t="s">
        <v>67</v>
      </c>
      <c r="G74" s="51">
        <f>[1]R2中部!AI60+[1]R2中部!AI68</f>
        <v>2218</v>
      </c>
      <c r="H74" s="47"/>
      <c r="I74" s="48"/>
      <c r="K74" s="40" t="s">
        <v>67</v>
      </c>
      <c r="L74" s="51">
        <f>[1]R2南河内!AI62</f>
        <v>2652.62</v>
      </c>
      <c r="M74" s="47"/>
      <c r="N74" s="49"/>
      <c r="P74" s="40" t="s">
        <v>67</v>
      </c>
      <c r="Q74" s="51">
        <f>[1]R2泉州!AI87</f>
        <v>7785.4</v>
      </c>
      <c r="S74" s="49"/>
      <c r="U74" s="40" t="s">
        <v>67</v>
      </c>
      <c r="V74" s="51">
        <f>B74+G74+L74+Q74</f>
        <v>18990.369999999995</v>
      </c>
      <c r="W74" s="47"/>
      <c r="X74" s="49"/>
    </row>
    <row r="75" spans="1:24" x14ac:dyDescent="0.15">
      <c r="A75" s="40" t="s">
        <v>68</v>
      </c>
      <c r="B75" s="50">
        <f>[1]R2北部!AJ88</f>
        <v>68408</v>
      </c>
      <c r="C75" s="6"/>
      <c r="D75" s="6"/>
      <c r="F75" s="40" t="s">
        <v>68</v>
      </c>
      <c r="G75" s="51">
        <f>[1]R2中部!AJ61</f>
        <v>46274</v>
      </c>
      <c r="H75" s="30"/>
      <c r="I75" s="30"/>
      <c r="K75" s="40" t="s">
        <v>68</v>
      </c>
      <c r="L75" s="51">
        <f>[1]R2南河内!AJ63</f>
        <v>221323</v>
      </c>
      <c r="M75" s="30"/>
      <c r="N75" s="52"/>
      <c r="P75" s="40" t="s">
        <v>68</v>
      </c>
      <c r="Q75" s="51">
        <f>[1]R2泉州!AJ88</f>
        <v>489152</v>
      </c>
      <c r="R75" s="30"/>
      <c r="S75" s="52"/>
      <c r="U75" s="40" t="s">
        <v>68</v>
      </c>
      <c r="V75" s="51">
        <f>B75+G75+L75+Q75</f>
        <v>825157</v>
      </c>
      <c r="W75" s="30"/>
      <c r="X75" s="52"/>
    </row>
    <row r="76" spans="1:24" x14ac:dyDescent="0.15">
      <c r="A76" s="40" t="s">
        <v>69</v>
      </c>
      <c r="B76" s="50">
        <f>[1]R2北部!AK88</f>
        <v>926</v>
      </c>
      <c r="C76" s="6"/>
      <c r="D76" s="6"/>
      <c r="F76" s="40" t="s">
        <v>69</v>
      </c>
      <c r="G76" s="51">
        <f>[1]R2中部!AK10+[1]R2中部!AK27+[1]R2中部!AK35</f>
        <v>662</v>
      </c>
      <c r="H76" s="6"/>
      <c r="I76" s="6"/>
      <c r="K76" s="40" t="s">
        <v>69</v>
      </c>
      <c r="L76" s="51">
        <f>[1]R2南河内!AK63</f>
        <v>1982</v>
      </c>
      <c r="M76" s="6"/>
      <c r="N76" s="53"/>
      <c r="P76" s="40" t="s">
        <v>69</v>
      </c>
      <c r="Q76" s="51">
        <f>[1]R2泉州!AK88</f>
        <v>4132</v>
      </c>
      <c r="U76" s="40" t="s">
        <v>69</v>
      </c>
      <c r="V76" s="51">
        <f>B76+G76+L76+Q76</f>
        <v>7702</v>
      </c>
    </row>
    <row r="77" spans="1:24" x14ac:dyDescent="0.15">
      <c r="A77" s="6"/>
      <c r="B77" s="6"/>
      <c r="C77" s="6"/>
      <c r="D77" s="6"/>
      <c r="F77" s="6"/>
      <c r="G77" s="6"/>
      <c r="H77" s="6"/>
      <c r="I77" s="6"/>
    </row>
    <row r="78" spans="1:24" x14ac:dyDescent="0.15">
      <c r="C78" s="6"/>
      <c r="D78" s="6"/>
      <c r="H78" s="6"/>
      <c r="I78" s="6"/>
      <c r="R78" s="47"/>
    </row>
    <row r="79" spans="1:24" x14ac:dyDescent="0.15">
      <c r="A79" s="6"/>
      <c r="B79" s="50"/>
      <c r="C79" s="6"/>
      <c r="D79" s="6"/>
      <c r="F79" s="6"/>
      <c r="G79" s="6"/>
      <c r="H79" s="6"/>
      <c r="I79" s="6"/>
    </row>
    <row r="80" spans="1:24" x14ac:dyDescent="0.15">
      <c r="A80" s="6"/>
      <c r="B80" s="50"/>
      <c r="C80" s="6"/>
      <c r="D80" s="6"/>
      <c r="F80" s="6"/>
      <c r="G80" s="6"/>
      <c r="H80" s="6"/>
      <c r="I80" s="6"/>
    </row>
    <row r="81" spans="1:10" x14ac:dyDescent="0.15">
      <c r="A81" s="6"/>
      <c r="B81" s="50"/>
      <c r="C81" s="6"/>
      <c r="D81" s="6"/>
      <c r="F81" s="6"/>
      <c r="G81" s="6"/>
      <c r="H81" s="6"/>
      <c r="I81" s="6"/>
    </row>
    <row r="82" spans="1:10" x14ac:dyDescent="0.15">
      <c r="A82" s="6"/>
      <c r="B82" s="50"/>
      <c r="C82" s="6"/>
      <c r="D82" s="6"/>
      <c r="F82" s="6"/>
      <c r="G82" s="6"/>
      <c r="H82" s="6"/>
      <c r="I82" s="6"/>
    </row>
    <row r="83" spans="1:10" x14ac:dyDescent="0.15">
      <c r="A83" s="6"/>
      <c r="B83" s="6"/>
      <c r="C83" s="6"/>
      <c r="D83" s="6"/>
      <c r="F83" s="6"/>
      <c r="G83" s="6"/>
      <c r="H83" s="6"/>
      <c r="I83" s="6"/>
    </row>
    <row r="84" spans="1:10" x14ac:dyDescent="0.15">
      <c r="A84" s="6"/>
      <c r="B84" s="6"/>
      <c r="C84" s="6"/>
      <c r="D84" s="6"/>
      <c r="F84" s="6"/>
      <c r="G84" s="6"/>
      <c r="H84" s="6"/>
      <c r="I84" s="6"/>
    </row>
    <row r="85" spans="1:10" x14ac:dyDescent="0.15">
      <c r="A85" s="6"/>
      <c r="B85" s="6"/>
      <c r="C85" s="6"/>
      <c r="D85" s="6"/>
      <c r="F85" s="6"/>
      <c r="G85" s="6"/>
      <c r="H85" s="6"/>
      <c r="I85" s="6"/>
    </row>
    <row r="86" spans="1:10" x14ac:dyDescent="0.15">
      <c r="A86" s="6"/>
      <c r="B86" s="6"/>
      <c r="C86" s="6"/>
      <c r="D86" s="6"/>
      <c r="F86" s="6"/>
      <c r="G86" s="6"/>
      <c r="H86" s="6"/>
      <c r="I86" s="6"/>
    </row>
    <row r="88" spans="1:10" x14ac:dyDescent="0.15">
      <c r="J88" s="6"/>
    </row>
    <row r="89" spans="1:10" x14ac:dyDescent="0.15">
      <c r="J89" s="6"/>
    </row>
    <row r="90" spans="1:10" x14ac:dyDescent="0.15">
      <c r="J90" s="6"/>
    </row>
    <row r="91" spans="1:10" x14ac:dyDescent="0.15">
      <c r="J91" s="6"/>
    </row>
    <row r="92" spans="1:10" x14ac:dyDescent="0.15">
      <c r="J92" s="6"/>
    </row>
    <row r="93" spans="1:10" x14ac:dyDescent="0.15">
      <c r="J93" s="6"/>
    </row>
    <row r="94" spans="1:10" x14ac:dyDescent="0.15">
      <c r="J94" s="6"/>
    </row>
    <row r="95" spans="1:10" x14ac:dyDescent="0.15">
      <c r="J95" s="6"/>
    </row>
    <row r="96" spans="1:10" x14ac:dyDescent="0.15">
      <c r="J96" s="6"/>
    </row>
    <row r="97" spans="10:10" x14ac:dyDescent="0.15">
      <c r="J97" s="6"/>
    </row>
    <row r="98" spans="10:10" x14ac:dyDescent="0.15">
      <c r="J98" s="6"/>
    </row>
    <row r="99" spans="10:10" x14ac:dyDescent="0.15">
      <c r="J99" s="6"/>
    </row>
    <row r="100" spans="10:10" x14ac:dyDescent="0.15">
      <c r="J100" s="30"/>
    </row>
    <row r="101" spans="10:10" x14ac:dyDescent="0.15">
      <c r="J101" s="31"/>
    </row>
    <row r="102" spans="10:10" x14ac:dyDescent="0.15">
      <c r="J102" s="33"/>
    </row>
    <row r="103" spans="10:10" x14ac:dyDescent="0.15">
      <c r="J103" s="33"/>
    </row>
    <row r="104" spans="10:10" x14ac:dyDescent="0.15">
      <c r="J104" s="33"/>
    </row>
    <row r="105" spans="10:10" x14ac:dyDescent="0.15">
      <c r="J105" s="54"/>
    </row>
    <row r="106" spans="10:10" x14ac:dyDescent="0.15">
      <c r="J106" s="55"/>
    </row>
    <row r="107" spans="10:10" x14ac:dyDescent="0.15">
      <c r="J107" s="55"/>
    </row>
    <row r="108" spans="10:10" x14ac:dyDescent="0.15">
      <c r="J108" s="55"/>
    </row>
    <row r="109" spans="10:10" x14ac:dyDescent="0.15">
      <c r="J109" s="55"/>
    </row>
    <row r="110" spans="10:10" x14ac:dyDescent="0.15">
      <c r="J110" s="55"/>
    </row>
    <row r="111" spans="10:10" x14ac:dyDescent="0.15">
      <c r="J111" s="55"/>
    </row>
    <row r="112" spans="10:10" x14ac:dyDescent="0.15">
      <c r="J112" s="6"/>
    </row>
    <row r="113" spans="10:10" x14ac:dyDescent="0.15">
      <c r="J113" s="6"/>
    </row>
    <row r="114" spans="10:10" x14ac:dyDescent="0.15">
      <c r="J114" s="6"/>
    </row>
    <row r="115" spans="10:10" x14ac:dyDescent="0.15">
      <c r="J115" s="6"/>
    </row>
    <row r="116" spans="10:10" x14ac:dyDescent="0.15">
      <c r="J116" s="6"/>
    </row>
  </sheetData>
  <mergeCells count="65">
    <mergeCell ref="A10:A16"/>
    <mergeCell ref="F10:F16"/>
    <mergeCell ref="K10:K16"/>
    <mergeCell ref="P10:P16"/>
    <mergeCell ref="U10:U16"/>
    <mergeCell ref="A5:A9"/>
    <mergeCell ref="F5:F9"/>
    <mergeCell ref="K5:K9"/>
    <mergeCell ref="P5:P9"/>
    <mergeCell ref="U5:U9"/>
    <mergeCell ref="A20:A28"/>
    <mergeCell ref="F20:F28"/>
    <mergeCell ref="K20:K28"/>
    <mergeCell ref="P20:P28"/>
    <mergeCell ref="U20:U28"/>
    <mergeCell ref="A17:A19"/>
    <mergeCell ref="F17:F19"/>
    <mergeCell ref="K17:K19"/>
    <mergeCell ref="P17:P19"/>
    <mergeCell ref="U17:U19"/>
    <mergeCell ref="A32:A34"/>
    <mergeCell ref="F32:F34"/>
    <mergeCell ref="K32:K34"/>
    <mergeCell ref="P32:P34"/>
    <mergeCell ref="U32:U34"/>
    <mergeCell ref="A29:A31"/>
    <mergeCell ref="F29:F31"/>
    <mergeCell ref="K29:K31"/>
    <mergeCell ref="P29:P31"/>
    <mergeCell ref="U29:U31"/>
    <mergeCell ref="A38:A45"/>
    <mergeCell ref="F38:F45"/>
    <mergeCell ref="K38:K45"/>
    <mergeCell ref="P38:P45"/>
    <mergeCell ref="U38:U45"/>
    <mergeCell ref="A35:A37"/>
    <mergeCell ref="F35:F37"/>
    <mergeCell ref="K35:K37"/>
    <mergeCell ref="P35:P37"/>
    <mergeCell ref="U35:U37"/>
    <mergeCell ref="A54:A61"/>
    <mergeCell ref="F54:F61"/>
    <mergeCell ref="K54:K61"/>
    <mergeCell ref="P54:P61"/>
    <mergeCell ref="U54:U61"/>
    <mergeCell ref="A46:A53"/>
    <mergeCell ref="F46:F53"/>
    <mergeCell ref="K46:K53"/>
    <mergeCell ref="P46:P53"/>
    <mergeCell ref="U46:U53"/>
    <mergeCell ref="A65:A67"/>
    <mergeCell ref="F65:F67"/>
    <mergeCell ref="K65:K67"/>
    <mergeCell ref="P65:P67"/>
    <mergeCell ref="U65:U67"/>
    <mergeCell ref="A62:A64"/>
    <mergeCell ref="F62:F64"/>
    <mergeCell ref="K62:K64"/>
    <mergeCell ref="P62:P64"/>
    <mergeCell ref="U62:U64"/>
    <mergeCell ref="A68:A70"/>
    <mergeCell ref="F68:F70"/>
    <mergeCell ref="K68:K70"/>
    <mergeCell ref="P68:P70"/>
    <mergeCell ref="U68:U70"/>
  </mergeCells>
  <phoneticPr fontId="2"/>
  <pageMargins left="0.70866141732283472" right="0.70866141732283472" top="0.74803149606299213" bottom="0.74803149606299213" header="0.31496062992125984" footer="0.31496062992125984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2021-01-27T07:42:55Z</dcterms:created>
  <dcterms:modified xsi:type="dcterms:W3CDTF">2021-02-15T01:49:11Z</dcterms:modified>
</cp:coreProperties>
</file>