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<sst xmlns="http://schemas.openxmlformats.org/spreadsheetml/2006/main" count="898" uniqueCount="371">
  <si>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</si>
  <si>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</si>
  <si>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</si>
  <si>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</si>
  <si>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</si>
  <si>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</si>
  <si>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</si>
  <si>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</si>
  <si>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</si>
  <si>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</si>
  <si>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</si>
  <si>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</si>
  <si>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</si>
  <si>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</si>
  <si>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</si>
  <si>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</si>
  <si>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</si>
  <si>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</si>
  <si>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</si>
  <si>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</si>
  <si>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</si>
  <si>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</si>
  <si>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</si>
  <si>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</si>
  <si>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</si>
  <si>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</si>
  <si>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</si>
  <si>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</si>
  <si>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</si>
  <si>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</si>
  <si>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</si>
  <si>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</si>
  <si>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</si>
  <si>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</si>
  <si>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</si>
  <si>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</si>
  <si>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</si>
  <si>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</si>
  <si>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</si>
  <si>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</si>
  <si>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</si>
  <si>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</si>
  <si>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</si>
  <si>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</si>
  <si>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</si>
  <si>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</si>
  <si>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</si>
  <si>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</si>
  <si>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</si>
  <si>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</si>
  <si>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</si>
  <si>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</si>
  <si>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</si>
  <si>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</si>
  <si>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</si>
  <si>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</si>
  <si>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</si>
  <si>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</si>
  <si>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</si>
  <si>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</si>
  <si>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</si>
  <si>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</si>
  <si>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</si>
  <si>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</si>
  <si>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</si>
  <si>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</si>
  <si>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</si>
  <si>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</si>
  <si>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</si>
  <si>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</si>
  <si>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</si>
  <si>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</si>
  <si>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</si>
  <si>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</si>
  <si>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</si>
  <si>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</si>
  <si>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</si>
  <si>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</si>
  <si>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</si>
  <si>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</si>
  <si>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</si>
  <si>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</si>
  <si>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</si>
  <si>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</si>
  <si>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</si>
  <si>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</si>
  <si>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</si>
  <si>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</si>
  <si>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</si>
  <si>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</si>
  <si>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</si>
  <si>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</si>
  <si>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</si>
  <si>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</si>
  <si>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</si>
  <si>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</si>
  <si>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</si>
  <si>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</si>
  <si>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</si>
  <si>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</si>
  <si>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</si>
  <si>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</si>
  <si>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</si>
  <si>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</si>
  <si>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</si>
  <si>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</si>
  <si>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</si>
  <si>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</si>
  <si>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</si>
  <si>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</si>
  <si>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</si>
  <si>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</si>
  <si>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</si>
  <si>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</si>
  <si>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</si>
  <si>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</si>
  <si>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</si>
  <si>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</si>
  <si>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</si>
  <si>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</si>
  <si>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</si>
  <si>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</si>
  <si>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</si>
  <si>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</si>
  <si>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</si>
  <si>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</si>
  <si>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</si>
  <si>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</si>
  <si>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</si>
  <si>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</si>
  <si>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</si>
  <si>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</si>
  <si>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</si>
  <si>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</si>
  <si>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</si>
  <si>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</si>
  <si>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</si>
  <si>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</si>
  <si>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</si>
  <si>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</si>
  <si>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</si>
  <si>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</si>
  <si>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</si>
  <si>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</si>
  <si>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</si>
  <si>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</si>
  <si>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</si>
  <si>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</si>
  <si>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</si>
  <si>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</si>
  <si>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</si>
  <si>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</si>
  <si>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</si>
  <si>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</si>
  <si>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</si>
  <si>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</si>
  <si>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</si>
  <si>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</si>
  <si>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</si>
  <si>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</si>
  <si>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</si>
  <si>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</si>
  <si>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</si>
  <si>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</si>
  <si>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</si>
  <si>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</si>
  <si>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</si>
  <si>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</si>
  <si>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</si>
  <si>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</si>
  <si>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</si>
  <si>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</si>
  <si>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</si>
  <si>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</si>
  <si>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</si>
  <si>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</si>
  <si>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</si>
  <si>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</si>
  <si>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</si>
  <si>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</si>
  <si>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</si>
  <si>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</si>
  <si>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</si>
  <si>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</si>
  <si>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</si>
  <si>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</si>
  <si>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</si>
  <si>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</si>
  <si>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</si>
  <si>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</si>
  <si>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</si>
  <si>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</si>
  <si>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</si>
  <si>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</si>
  <si>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</si>
  <si>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</si>
  <si>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</si>
  <si>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</si>
  <si>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</si>
  <si>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</si>
  <si>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</si>
  <si>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</si>
  <si>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</si>
  <si>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</si>
  <si>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</si>
  <si>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</si>
  <si>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</si>
  <si>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</si>
  <si>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</si>
  <si>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</si>
  <si>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</si>
  <si>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</si>
  <si>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</si>
  <si>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</si>
  <si>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</si>
  <si>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</si>
  <si>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</si>
  <si>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</si>
  <si>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</si>
  <si>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</si>
  <si>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</si>
  <si>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</si>
  <si>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</si>
  <si>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</si>
  <si>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</si>
  <si>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</si>
  <si>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</si>
  <si>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</si>
  <si>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</si>
  <si>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</si>
  <si>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</si>
  <si>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</si>
  <si>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</si>
  <si>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</si>
  <si>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</si>
  <si>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</si>
  <si>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</si>
  <si>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</si>
  <si>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</si>
  <si>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</si>
  <si>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</si>
  <si>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</si>
  <si>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</si>
  <si>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</si>
  <si>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</si>
  <si>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</si>
  <si>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</si>
  <si>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</si>
  <si>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</si>
  <si>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</si>
  <si>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</si>
  <si>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</si>
  <si>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</si>
  <si>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</si>
  <si>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</si>
  <si>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</si>
  <si>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</si>
  <si>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</si>
  <si>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</si>
  <si>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</si>
  <si>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</si>
  <si>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</si>
  <si>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</si>
  <si>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</si>
  <si>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</si>
  <si>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</si>
  <si>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</si>
  <si>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</si>
  <si>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</si>
  <si>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</si>
  <si>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</si>
  <si>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</si>
  <si>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（学校番号：Ｓ０４）</t>
  </si>
  <si>
    <t>（財務会計コード番号：１０４９７）</t>
  </si>
  <si>
    <t>府堺聴覚支援学校　</t>
  </si>
  <si>
    <t>大阪府聴覚障がい研究会</t>
  </si>
  <si>
    <t>全日本聾教育研究大会参加費</t>
  </si>
  <si>
    <t>全国特別支援学校長研究大会参加費</t>
  </si>
  <si>
    <t>全国聾学校長会研究協議会参加費</t>
  </si>
  <si>
    <t>全国聾学校教頭総会参加費</t>
  </si>
  <si>
    <t>◎</t>
  </si>
  <si>
    <t>２－（１）－（１）</t>
  </si>
  <si>
    <t>キャリア教育の推進</t>
  </si>
  <si>
    <t>幼稚部保護者学習会講師謝礼</t>
  </si>
  <si>
    <t>小学部外国語授業講師謝礼</t>
  </si>
  <si>
    <t>キャリア教育推進講演会講師謝礼</t>
  </si>
  <si>
    <t>支援教育の専門性向上</t>
  </si>
  <si>
    <t>臨床心理士指導謝礼</t>
  </si>
  <si>
    <t>全校研究会講師謝礼</t>
  </si>
  <si>
    <t>小学部専門性向上研修講師謝礼</t>
  </si>
  <si>
    <t>専門性向上研修派遣旅費</t>
  </si>
  <si>
    <t>キャリア教育推進研修派遣旅費</t>
  </si>
  <si>
    <t>全国特別支援学校長会研究大会資料代</t>
  </si>
  <si>
    <t>全日本聾教育研究会大会資料代</t>
  </si>
  <si>
    <t>３－（２）－（２）</t>
  </si>
  <si>
    <t>ICT機器の活用</t>
  </si>
  <si>
    <t>iPad Air2</t>
  </si>
  <si>
    <t>幼稚部体育運動講師謝礼</t>
  </si>
  <si>
    <t>臨床心理士カウンセリング謝礼</t>
  </si>
  <si>
    <t>地域校教員向け研修講師謝礼</t>
  </si>
  <si>
    <t>１－（１）－（１）</t>
  </si>
  <si>
    <t>人権教育の推進</t>
  </si>
  <si>
    <t>平和学習講師謝礼</t>
  </si>
  <si>
    <t>府立人研夏季セミナー資料代</t>
  </si>
  <si>
    <t>府立人研研修会資料代</t>
  </si>
  <si>
    <t>１－（4）－（4）</t>
  </si>
  <si>
    <t>食物アレルギー研修講師謝礼</t>
  </si>
  <si>
    <t>キャリア教育研修会参加費</t>
  </si>
  <si>
    <t>専門性向上研修派遣参加費</t>
  </si>
  <si>
    <t>　　平成29年　5月　1日</t>
  </si>
  <si>
    <t>４－（３）－（３）</t>
  </si>
  <si>
    <t>早期教育の支援</t>
  </si>
  <si>
    <t>地域支援</t>
  </si>
  <si>
    <t>医療的ケアの安全・適正な実施</t>
  </si>
  <si>
    <t>　堺聴支第　４８　号　</t>
  </si>
  <si>
    <t>（学校番号：S04）</t>
  </si>
  <si>
    <t>（財務会計コード番号：10497）</t>
  </si>
  <si>
    <t>府立堺聴覚支援学校　</t>
  </si>
  <si>
    <t>　校長　　綿谷　輝明　</t>
  </si>
  <si>
    <t>４－（３）－（３）</t>
  </si>
  <si>
    <t>地域校教員向け研修講師旅費</t>
  </si>
  <si>
    <t>　 堺聴支第 ４８－２号　</t>
  </si>
  <si>
    <t>　　平成２９年　６月２９日</t>
  </si>
  <si>
    <t>キャリア教育推進講演会講師謝礼</t>
  </si>
  <si>
    <t>２－（１）－（１）</t>
  </si>
  <si>
    <t>３－（１）－（１）</t>
  </si>
  <si>
    <t>外国語授業講師謝礼</t>
  </si>
  <si>
    <t>リナックスパソコン一式</t>
  </si>
  <si>
    <t>デスクトップパソコン</t>
  </si>
  <si>
    <t>確かな学力</t>
  </si>
  <si>
    <t>イチゴ水耕栽培システム一式</t>
  </si>
  <si>
    <t>センター的機能の充実</t>
  </si>
  <si>
    <t>パソコン・プリンター</t>
  </si>
  <si>
    <t>人権講演会講師謝礼</t>
  </si>
  <si>
    <t>府立人研研修会資料代</t>
  </si>
  <si>
    <t>支援教育の専門性向上</t>
  </si>
  <si>
    <t>臨床心理士研修謝礼</t>
  </si>
  <si>
    <t>　校長　綿谷　輝昭</t>
  </si>
  <si>
    <t>　校長　綿谷　輝昭　</t>
  </si>
  <si>
    <t>　　平成２９年　　８　月　17　日</t>
  </si>
  <si>
    <t>　堺聴支第48-3号　</t>
  </si>
  <si>
    <t>小学部「先輩の話を聞く」講師謝礼</t>
  </si>
  <si>
    <t>1-(1)-(1)</t>
  </si>
  <si>
    <t>1-(4)-(4)</t>
  </si>
  <si>
    <t>医療的ケアの安全・適正な実施</t>
  </si>
  <si>
    <t>食物アレルギー研修講師謝礼</t>
  </si>
  <si>
    <t>2-(1)-(1)</t>
  </si>
  <si>
    <t>キャリア教育の推進</t>
  </si>
  <si>
    <t>２－（２）－（２）</t>
  </si>
  <si>
    <t>確かな学力</t>
  </si>
  <si>
    <t>3－（１）－（１）</t>
  </si>
  <si>
    <t>3-(1)-(1)</t>
  </si>
  <si>
    <t>2-(2)-(2)</t>
  </si>
  <si>
    <t>支援教育の専門性向上</t>
  </si>
  <si>
    <t>３－（２）－（２）</t>
  </si>
  <si>
    <t>３-(2)-(2)</t>
  </si>
  <si>
    <t>ICT機器の活用</t>
  </si>
  <si>
    <t>４－（３）－（１）</t>
  </si>
  <si>
    <t>４-(3)-(1)</t>
  </si>
  <si>
    <t>４－（３）－（３）</t>
  </si>
  <si>
    <t>4-(3)-(3)</t>
  </si>
  <si>
    <t>外国語授業講師謝礼(幼児、児童、生徒対象）、幼稚部保護者学習会講師謝礼、キャリア教育推進研修派遣旅費</t>
  </si>
  <si>
    <t>幼稚部体育運動講師謝礼</t>
  </si>
  <si>
    <t>臨床心理士指導謝礼、全校研究会講師謝礼、研修派遣旅費</t>
  </si>
  <si>
    <t>平和学習講師謝礼、研修資料代</t>
  </si>
  <si>
    <t>パソコン</t>
  </si>
  <si>
    <t>イチゴ水耕栽培システム一式(塩ビパイプ他）</t>
  </si>
  <si>
    <t>平成３０年　３月２６</t>
  </si>
  <si>
    <t>○</t>
  </si>
  <si>
    <t>　標記につきまして、平成29年度の執行状況及び実施内容を、下記のとおり報告します。</t>
  </si>
  <si>
    <t>　堺聴支第48-4号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</si>
</sst>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medium"/>
      <top style="hair"/>
      <bottom>
        <color indexed="63"/>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medium"/>
      <right style="hair"/>
      <top style="hair"/>
      <bottom>
        <color indexed="63"/>
      </bottom>
    </border>
    <border>
      <left style="medium"/>
      <right style="hair"/>
      <top>
        <color indexed="63"/>
      </top>
      <bottom>
        <color indexed="63"/>
      </bottom>
    </border>
    <border>
      <left style="medium"/>
      <right style="medium"/>
      <top>
        <color indexed="63"/>
      </top>
      <bottom>
        <color indexed="63"/>
      </botto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8" xfId="0" applyFont="1" applyFill="1" applyBorder="1" applyAlignment="1" applyProtection="1">
      <alignment horizontal="left" vertical="center"/>
      <protection locked="0"/>
    </xf>
    <xf numFmtId="0" fontId="7" fillId="6" borderId="173" xfId="0" applyFont="1" applyFill="1" applyBorder="1" applyAlignment="1" applyProtection="1">
      <alignment horizontal="center" vertical="center" shrinkToFit="1"/>
      <protection locked="0"/>
    </xf>
    <xf numFmtId="0" fontId="7" fillId="6" borderId="80" xfId="0" applyFont="1" applyFill="1" applyBorder="1" applyAlignment="1" applyProtection="1">
      <alignment vertical="center" shrinkToFit="1"/>
      <protection locked="0"/>
    </xf>
    <xf numFmtId="0" fontId="10" fillId="6" borderId="88" xfId="0" applyFont="1" applyFill="1" applyBorder="1" applyAlignment="1" applyProtection="1">
      <alignment horizontal="left" vertical="center"/>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0" fontId="7" fillId="6" borderId="200" xfId="0" applyFont="1" applyFill="1" applyBorder="1" applyAlignment="1" applyProtection="1">
      <alignment horizontal="center" vertical="center" shrinkToFit="1"/>
      <protection locked="0"/>
    </xf>
    <xf numFmtId="0" fontId="7" fillId="6" borderId="201"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center" vertical="center" shrinkToFit="1"/>
      <protection locked="0"/>
    </xf>
    <xf numFmtId="0" fontId="7" fillId="6" borderId="173" xfId="0" applyFont="1" applyFill="1" applyBorder="1" applyAlignment="1" applyProtection="1">
      <alignment horizontal="center" vertical="center" shrinkToFit="1"/>
      <protection locked="0"/>
    </xf>
    <xf numFmtId="0" fontId="7" fillId="6" borderId="202" xfId="0" applyFont="1" applyFill="1" applyBorder="1" applyAlignment="1" applyProtection="1">
      <alignment horizontal="center" vertical="center" shrinkToFit="1"/>
      <protection locked="0"/>
    </xf>
    <xf numFmtId="0" fontId="7" fillId="6" borderId="107" xfId="0" applyFont="1" applyFill="1" applyBorder="1" applyAlignment="1" applyProtection="1">
      <alignment horizontal="center" vertical="center" shrinkToFit="1"/>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209"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wrapText="1"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3"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7" xfId="57" applyFont="1" applyBorder="1" applyAlignment="1" applyProtection="1">
      <alignment horizontal="right" vertical="center"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H5" sqref="H5:K5"/>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12" t="s">
        <v>272</v>
      </c>
      <c r="I1" s="512"/>
      <c r="J1" s="512"/>
      <c r="K1" s="512"/>
    </row>
    <row r="2" spans="2:11" s="1" customFormat="1" ht="18" customHeight="1">
      <c r="B2" s="147"/>
      <c r="H2" s="512" t="s">
        <v>273</v>
      </c>
      <c r="I2" s="512"/>
      <c r="J2" s="512"/>
      <c r="K2" s="512"/>
    </row>
    <row r="3" spans="2:11" s="1" customFormat="1" ht="18" customHeight="1">
      <c r="B3" s="147"/>
      <c r="K3" s="2"/>
    </row>
    <row r="4" spans="2:11" s="1" customFormat="1" ht="18" customHeight="1">
      <c r="B4" s="147"/>
      <c r="H4" s="513" t="s">
        <v>370</v>
      </c>
      <c r="I4" s="513"/>
      <c r="J4" s="513"/>
      <c r="K4" s="513"/>
    </row>
    <row r="5" spans="2:11" s="1" customFormat="1" ht="18" customHeight="1">
      <c r="B5" s="147"/>
      <c r="H5" s="514">
        <v>43186</v>
      </c>
      <c r="I5" s="513"/>
      <c r="J5" s="513"/>
      <c r="K5" s="513"/>
    </row>
    <row r="6" spans="1:11" s="1" customFormat="1" ht="18" customHeight="1">
      <c r="A6" s="3" t="s">
        <v>2</v>
      </c>
      <c r="B6" s="147"/>
      <c r="H6" s="4"/>
      <c r="K6" s="11"/>
    </row>
    <row r="7" spans="1:11" s="1" customFormat="1" ht="18" customHeight="1">
      <c r="A7" s="4"/>
      <c r="B7" s="147"/>
      <c r="H7" s="513" t="s">
        <v>274</v>
      </c>
      <c r="I7" s="513"/>
      <c r="J7" s="513"/>
      <c r="K7" s="513"/>
    </row>
    <row r="8" spans="1:11" s="1" customFormat="1" ht="18" customHeight="1">
      <c r="A8" s="4"/>
      <c r="B8" s="147"/>
      <c r="H8" s="513" t="s">
        <v>338</v>
      </c>
      <c r="I8" s="513"/>
      <c r="J8" s="513"/>
      <c r="K8" s="513"/>
    </row>
    <row r="9" spans="1:11" s="1" customFormat="1" ht="42" customHeight="1">
      <c r="A9" s="4"/>
      <c r="B9" s="147"/>
      <c r="H9" s="2"/>
      <c r="K9" s="46"/>
    </row>
    <row r="10" spans="1:11" s="5" customFormat="1" ht="24" customHeight="1">
      <c r="A10" s="515" t="s">
        <v>263</v>
      </c>
      <c r="B10" s="515"/>
      <c r="C10" s="515"/>
      <c r="D10" s="515"/>
      <c r="E10" s="515"/>
      <c r="F10" s="515"/>
      <c r="G10" s="515"/>
      <c r="H10" s="515"/>
      <c r="I10" s="515"/>
      <c r="J10" s="515"/>
      <c r="K10" s="515"/>
    </row>
    <row r="11" spans="1:11" s="5" customFormat="1" ht="24" customHeight="1">
      <c r="A11" s="516"/>
      <c r="B11" s="516"/>
      <c r="C11" s="516"/>
      <c r="D11" s="516"/>
      <c r="E11" s="516"/>
      <c r="F11" s="516"/>
      <c r="G11" s="516"/>
      <c r="H11" s="516"/>
      <c r="I11" s="516"/>
      <c r="J11" s="516"/>
      <c r="K11" s="516"/>
    </row>
    <row r="12" spans="1:11" s="5" customFormat="1" ht="24" customHeight="1">
      <c r="A12" s="14" t="s">
        <v>369</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7" t="s">
        <v>223</v>
      </c>
      <c r="B14" s="518"/>
      <c r="C14" s="519"/>
      <c r="D14" s="520">
        <f>'1-1'!D14:F14</f>
        <v>1190000</v>
      </c>
      <c r="E14" s="521"/>
      <c r="F14" s="522"/>
      <c r="G14" s="502" t="s">
        <v>1</v>
      </c>
      <c r="H14" s="503"/>
      <c r="I14" s="504" t="s">
        <v>367</v>
      </c>
      <c r="J14" s="505"/>
      <c r="K14" s="506"/>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0">
        <f>'3-2'!K45</f>
        <v>351800</v>
      </c>
      <c r="C16" s="221">
        <f>'3-2'!K46</f>
        <v>122380</v>
      </c>
      <c r="D16" s="221">
        <f>'3-2'!K47</f>
        <v>363144</v>
      </c>
      <c r="E16" s="221">
        <f>'3-2'!K48</f>
        <v>0</v>
      </c>
      <c r="F16" s="221">
        <f>'3-2'!K49</f>
        <v>0</v>
      </c>
      <c r="G16" s="221">
        <f>'3-2'!K50</f>
        <v>0</v>
      </c>
      <c r="H16" s="221">
        <f>'3-2'!K51</f>
        <v>0</v>
      </c>
      <c r="I16" s="221">
        <f>'3-2'!K52</f>
        <v>0</v>
      </c>
      <c r="J16" s="222">
        <f>'3-2'!K53</f>
        <v>146170</v>
      </c>
      <c r="K16" s="223">
        <f>SUM(B16:J16)</f>
        <v>983494</v>
      </c>
    </row>
    <row r="17" spans="6:7" ht="24" customHeight="1" thickBot="1">
      <c r="F17" s="12"/>
      <c r="G17" s="12"/>
    </row>
    <row r="18" spans="1:11" ht="24" customHeight="1" thickBot="1">
      <c r="A18" s="145" t="s">
        <v>141</v>
      </c>
      <c r="B18" s="507" t="s">
        <v>142</v>
      </c>
      <c r="C18" s="508"/>
      <c r="D18" s="507" t="s">
        <v>224</v>
      </c>
      <c r="E18" s="509"/>
      <c r="F18" s="508" t="s">
        <v>219</v>
      </c>
      <c r="G18" s="508"/>
      <c r="H18" s="508"/>
      <c r="I18" s="508"/>
      <c r="J18" s="509"/>
      <c r="K18" s="146" t="s">
        <v>140</v>
      </c>
    </row>
    <row r="19" spans="1:11" ht="48" customHeight="1">
      <c r="A19" s="150">
        <v>1</v>
      </c>
      <c r="B19" s="510" t="s">
        <v>342</v>
      </c>
      <c r="C19" s="511"/>
      <c r="D19" s="498" t="s">
        <v>301</v>
      </c>
      <c r="E19" s="499"/>
      <c r="F19" s="501" t="s">
        <v>364</v>
      </c>
      <c r="G19" s="501"/>
      <c r="H19" s="501"/>
      <c r="I19" s="501"/>
      <c r="J19" s="499"/>
      <c r="K19" s="475" t="s">
        <v>368</v>
      </c>
    </row>
    <row r="20" spans="1:11" ht="48" customHeight="1">
      <c r="A20" s="151">
        <v>2</v>
      </c>
      <c r="B20" s="493" t="s">
        <v>343</v>
      </c>
      <c r="C20" s="494"/>
      <c r="D20" s="496" t="s">
        <v>344</v>
      </c>
      <c r="E20" s="497"/>
      <c r="F20" s="500" t="s">
        <v>345</v>
      </c>
      <c r="G20" s="500"/>
      <c r="H20" s="500"/>
      <c r="I20" s="500"/>
      <c r="J20" s="497"/>
      <c r="K20" s="475" t="s">
        <v>280</v>
      </c>
    </row>
    <row r="21" spans="1:11" ht="48" customHeight="1">
      <c r="A21" s="151">
        <v>3</v>
      </c>
      <c r="B21" s="493" t="s">
        <v>346</v>
      </c>
      <c r="C21" s="494"/>
      <c r="D21" s="496" t="s">
        <v>347</v>
      </c>
      <c r="E21" s="497"/>
      <c r="F21" s="500" t="s">
        <v>361</v>
      </c>
      <c r="G21" s="500"/>
      <c r="H21" s="500"/>
      <c r="I21" s="500"/>
      <c r="J21" s="497"/>
      <c r="K21" s="475" t="s">
        <v>280</v>
      </c>
    </row>
    <row r="22" spans="1:11" ht="48" customHeight="1">
      <c r="A22" s="151">
        <v>4</v>
      </c>
      <c r="B22" s="493" t="s">
        <v>352</v>
      </c>
      <c r="C22" s="494"/>
      <c r="D22" s="496" t="s">
        <v>349</v>
      </c>
      <c r="E22" s="497"/>
      <c r="F22" s="500" t="s">
        <v>366</v>
      </c>
      <c r="G22" s="500"/>
      <c r="H22" s="500"/>
      <c r="I22" s="500"/>
      <c r="J22" s="497"/>
      <c r="K22" s="475" t="s">
        <v>368</v>
      </c>
    </row>
    <row r="23" spans="1:11" ht="48" customHeight="1">
      <c r="A23" s="151">
        <v>5</v>
      </c>
      <c r="B23" s="493" t="s">
        <v>351</v>
      </c>
      <c r="C23" s="494"/>
      <c r="D23" s="496" t="s">
        <v>353</v>
      </c>
      <c r="E23" s="497"/>
      <c r="F23" s="500" t="s">
        <v>363</v>
      </c>
      <c r="G23" s="500"/>
      <c r="H23" s="500"/>
      <c r="I23" s="500"/>
      <c r="J23" s="497"/>
      <c r="K23" s="475" t="s">
        <v>280</v>
      </c>
    </row>
    <row r="24" spans="1:11" ht="48" customHeight="1">
      <c r="A24" s="151">
        <v>6</v>
      </c>
      <c r="B24" s="493" t="s">
        <v>355</v>
      </c>
      <c r="C24" s="494"/>
      <c r="D24" s="496" t="s">
        <v>356</v>
      </c>
      <c r="E24" s="497"/>
      <c r="F24" s="500" t="s">
        <v>365</v>
      </c>
      <c r="G24" s="500"/>
      <c r="H24" s="500"/>
      <c r="I24" s="500"/>
      <c r="J24" s="497"/>
      <c r="K24" s="475" t="s">
        <v>368</v>
      </c>
    </row>
    <row r="25" spans="1:11" ht="48" customHeight="1">
      <c r="A25" s="151">
        <v>7</v>
      </c>
      <c r="B25" s="493" t="s">
        <v>358</v>
      </c>
      <c r="C25" s="495"/>
      <c r="D25" s="496" t="s">
        <v>311</v>
      </c>
      <c r="E25" s="497"/>
      <c r="F25" s="500" t="s">
        <v>362</v>
      </c>
      <c r="G25" s="500"/>
      <c r="H25" s="500"/>
      <c r="I25" s="500"/>
      <c r="J25" s="497"/>
      <c r="K25" s="475" t="s">
        <v>368</v>
      </c>
    </row>
    <row r="26" spans="1:11" ht="48" customHeight="1">
      <c r="A26" s="151">
        <v>8</v>
      </c>
      <c r="B26" s="493" t="s">
        <v>360</v>
      </c>
      <c r="C26" s="495"/>
      <c r="D26" s="496" t="s">
        <v>331</v>
      </c>
      <c r="E26" s="497"/>
      <c r="F26" s="500" t="s">
        <v>332</v>
      </c>
      <c r="G26" s="500"/>
      <c r="H26" s="500"/>
      <c r="I26" s="500"/>
      <c r="J26" s="497"/>
      <c r="K26" s="475" t="s">
        <v>368</v>
      </c>
    </row>
    <row r="27" spans="1:11" ht="48" customHeight="1">
      <c r="A27" s="151"/>
      <c r="B27" s="493"/>
      <c r="C27" s="494"/>
      <c r="D27" s="496"/>
      <c r="E27" s="497"/>
      <c r="F27" s="500"/>
      <c r="G27" s="500"/>
      <c r="H27" s="500"/>
      <c r="I27" s="500"/>
      <c r="J27" s="497"/>
      <c r="K27" s="475"/>
    </row>
    <row r="28" spans="1:11" ht="48" customHeight="1">
      <c r="A28" s="151"/>
      <c r="B28" s="493"/>
      <c r="C28" s="494"/>
      <c r="D28" s="496"/>
      <c r="E28" s="497"/>
      <c r="F28" s="500"/>
      <c r="G28" s="500"/>
      <c r="H28" s="500"/>
      <c r="I28" s="500"/>
      <c r="J28" s="497"/>
      <c r="K28" s="475"/>
    </row>
    <row r="29" spans="1:11" ht="48" customHeight="1">
      <c r="A29" s="151"/>
      <c r="B29" s="493"/>
      <c r="C29" s="494"/>
      <c r="D29" s="496"/>
      <c r="E29" s="497"/>
      <c r="F29" s="500"/>
      <c r="G29" s="500"/>
      <c r="H29" s="500"/>
      <c r="I29" s="500"/>
      <c r="J29" s="497"/>
      <c r="K29" s="475"/>
    </row>
    <row r="30" spans="1:11" ht="48" customHeight="1">
      <c r="A30" s="158"/>
      <c r="B30" s="493"/>
      <c r="C30" s="495"/>
      <c r="D30" s="496"/>
      <c r="E30" s="497"/>
      <c r="F30" s="500"/>
      <c r="G30" s="500"/>
      <c r="H30" s="500"/>
      <c r="I30" s="500"/>
      <c r="J30" s="497"/>
      <c r="K30" s="475"/>
    </row>
    <row r="31" spans="1:11" ht="48" customHeight="1">
      <c r="A31" s="158"/>
      <c r="B31" s="493"/>
      <c r="C31" s="495"/>
      <c r="D31" s="496"/>
      <c r="E31" s="497"/>
      <c r="F31" s="500"/>
      <c r="G31" s="500"/>
      <c r="H31" s="500"/>
      <c r="I31" s="500"/>
      <c r="J31" s="497"/>
      <c r="K31" s="475"/>
    </row>
    <row r="32" spans="1:11" ht="48" customHeight="1">
      <c r="A32" s="158"/>
      <c r="B32" s="493"/>
      <c r="C32" s="495"/>
      <c r="D32" s="496"/>
      <c r="E32" s="497"/>
      <c r="F32" s="500"/>
      <c r="G32" s="500"/>
      <c r="H32" s="500"/>
      <c r="I32" s="500"/>
      <c r="J32" s="497"/>
      <c r="K32" s="475"/>
    </row>
    <row r="33" spans="1:11" ht="48" customHeight="1">
      <c r="A33" s="158"/>
      <c r="B33" s="493"/>
      <c r="C33" s="495"/>
      <c r="D33" s="496"/>
      <c r="E33" s="497"/>
      <c r="F33" s="500"/>
      <c r="G33" s="500"/>
      <c r="H33" s="500"/>
      <c r="I33" s="500"/>
      <c r="J33" s="497"/>
      <c r="K33" s="475"/>
    </row>
    <row r="34" spans="1:11" ht="48" customHeight="1">
      <c r="A34" s="158"/>
      <c r="B34" s="493"/>
      <c r="C34" s="495"/>
      <c r="D34" s="496"/>
      <c r="E34" s="497"/>
      <c r="F34" s="500"/>
      <c r="G34" s="500"/>
      <c r="H34" s="500"/>
      <c r="I34" s="500"/>
      <c r="J34" s="497"/>
      <c r="K34" s="475"/>
    </row>
    <row r="35" spans="1:11" ht="48" customHeight="1" thickBot="1">
      <c r="A35" s="152"/>
      <c r="B35" s="491"/>
      <c r="C35" s="492"/>
      <c r="D35" s="523"/>
      <c r="E35" s="524"/>
      <c r="F35" s="525"/>
      <c r="G35" s="525"/>
      <c r="H35" s="525"/>
      <c r="I35" s="525"/>
      <c r="J35" s="524"/>
      <c r="K35" s="475"/>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7" sqref="F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0" t="s">
        <v>142</v>
      </c>
      <c r="C3" s="59" t="s">
        <v>144</v>
      </c>
      <c r="D3" s="96" t="s">
        <v>146</v>
      </c>
      <c r="E3" s="96" t="s">
        <v>0</v>
      </c>
      <c r="F3" s="96" t="s">
        <v>197</v>
      </c>
      <c r="G3" s="96" t="s">
        <v>91</v>
      </c>
      <c r="H3" s="476" t="s">
        <v>246</v>
      </c>
      <c r="I3" s="96" t="s">
        <v>92</v>
      </c>
      <c r="J3" s="96" t="s">
        <v>93</v>
      </c>
      <c r="K3" s="228" t="s">
        <v>111</v>
      </c>
      <c r="L3" s="296" t="s">
        <v>94</v>
      </c>
      <c r="M3" s="29" t="s">
        <v>99</v>
      </c>
    </row>
    <row r="4" spans="1:13" ht="13.5" customHeight="1">
      <c r="A4" s="361"/>
      <c r="B4" s="362"/>
      <c r="C4" s="243"/>
      <c r="D4" s="244">
        <v>301</v>
      </c>
      <c r="E4" s="245" t="s">
        <v>138</v>
      </c>
      <c r="F4" s="246" t="s">
        <v>225</v>
      </c>
      <c r="G4" s="247">
        <v>21000</v>
      </c>
      <c r="H4" s="248">
        <v>1</v>
      </c>
      <c r="I4" s="248">
        <v>1</v>
      </c>
      <c r="J4" s="249">
        <f>G4*H4*I4</f>
        <v>21000</v>
      </c>
      <c r="K4" s="250"/>
      <c r="L4" s="251" t="s">
        <v>227</v>
      </c>
      <c r="M4" s="29">
        <f aca="true" t="shared" si="0" ref="M4:M67">IF(K4="◎",J4,"")</f>
      </c>
    </row>
    <row r="5" spans="1:13" ht="14.25">
      <c r="A5" s="252">
        <v>1</v>
      </c>
      <c r="B5" s="253" t="s">
        <v>324</v>
      </c>
      <c r="C5" s="254" t="s">
        <v>282</v>
      </c>
      <c r="D5" s="255">
        <v>302</v>
      </c>
      <c r="E5" s="256" t="s">
        <v>85</v>
      </c>
      <c r="F5" s="257" t="s">
        <v>326</v>
      </c>
      <c r="G5" s="258">
        <v>10000</v>
      </c>
      <c r="H5" s="259">
        <v>1</v>
      </c>
      <c r="I5" s="259">
        <v>2</v>
      </c>
      <c r="J5" s="260">
        <f>G5*H5*I5</f>
        <v>20000</v>
      </c>
      <c r="K5" s="261"/>
      <c r="L5" s="262"/>
      <c r="M5" s="29">
        <f t="shared" si="0"/>
      </c>
    </row>
    <row r="6" spans="1:13" ht="14.25">
      <c r="A6" s="252"/>
      <c r="B6" s="253"/>
      <c r="C6" s="254"/>
      <c r="D6" s="255">
        <v>303</v>
      </c>
      <c r="E6" s="256" t="s">
        <v>85</v>
      </c>
      <c r="F6" s="257" t="s">
        <v>323</v>
      </c>
      <c r="G6" s="258">
        <v>30000</v>
      </c>
      <c r="H6" s="259">
        <v>1</v>
      </c>
      <c r="I6" s="259">
        <v>1</v>
      </c>
      <c r="J6" s="260">
        <f aca="true" t="shared" si="1" ref="J6:J69">G6*H6*I6</f>
        <v>30000</v>
      </c>
      <c r="K6" s="261"/>
      <c r="L6" s="262"/>
      <c r="M6" s="29">
        <f t="shared" si="0"/>
      </c>
    </row>
    <row r="7" spans="1:13" ht="14.25">
      <c r="A7" s="252"/>
      <c r="B7" s="253"/>
      <c r="C7" s="254"/>
      <c r="D7" s="255">
        <v>304</v>
      </c>
      <c r="E7" s="256" t="s">
        <v>85</v>
      </c>
      <c r="F7" s="257" t="s">
        <v>341</v>
      </c>
      <c r="G7" s="258">
        <v>5000</v>
      </c>
      <c r="H7" s="259">
        <v>1</v>
      </c>
      <c r="I7" s="259">
        <v>1</v>
      </c>
      <c r="J7" s="260">
        <f t="shared" si="1"/>
        <v>5000</v>
      </c>
      <c r="K7" s="261"/>
      <c r="L7" s="262"/>
      <c r="M7" s="29">
        <f t="shared" si="0"/>
      </c>
    </row>
    <row r="8" spans="1:13" ht="14.25">
      <c r="A8" s="252"/>
      <c r="B8" s="253"/>
      <c r="C8" s="254"/>
      <c r="D8" s="255">
        <v>305</v>
      </c>
      <c r="E8" s="256" t="s">
        <v>86</v>
      </c>
      <c r="F8" s="257" t="s">
        <v>291</v>
      </c>
      <c r="G8" s="258">
        <v>30000</v>
      </c>
      <c r="H8" s="259">
        <v>1</v>
      </c>
      <c r="I8" s="259">
        <v>2</v>
      </c>
      <c r="J8" s="260">
        <f t="shared" si="1"/>
        <v>60000</v>
      </c>
      <c r="K8" s="261"/>
      <c r="L8" s="262"/>
      <c r="M8" s="29">
        <f t="shared" si="0"/>
      </c>
    </row>
    <row r="9" spans="1:13" ht="14.25">
      <c r="A9" s="252">
        <v>2</v>
      </c>
      <c r="B9" s="253" t="s">
        <v>325</v>
      </c>
      <c r="C9" s="254" t="s">
        <v>335</v>
      </c>
      <c r="D9" s="255">
        <v>306</v>
      </c>
      <c r="E9" s="256" t="s">
        <v>85</v>
      </c>
      <c r="F9" s="257" t="s">
        <v>287</v>
      </c>
      <c r="G9" s="258">
        <v>14000</v>
      </c>
      <c r="H9" s="259">
        <v>1</v>
      </c>
      <c r="I9" s="259">
        <v>6</v>
      </c>
      <c r="J9" s="260">
        <f t="shared" si="1"/>
        <v>84000</v>
      </c>
      <c r="K9" s="261"/>
      <c r="L9" s="262"/>
      <c r="M9" s="29">
        <f t="shared" si="0"/>
      </c>
    </row>
    <row r="10" spans="1:13" ht="14.25">
      <c r="A10" s="252"/>
      <c r="B10" s="253"/>
      <c r="C10" s="254"/>
      <c r="D10" s="255">
        <v>307</v>
      </c>
      <c r="E10" s="256" t="s">
        <v>85</v>
      </c>
      <c r="F10" s="257" t="s">
        <v>336</v>
      </c>
      <c r="G10" s="258">
        <v>10000</v>
      </c>
      <c r="H10" s="259">
        <v>1</v>
      </c>
      <c r="I10" s="259">
        <v>1</v>
      </c>
      <c r="J10" s="260">
        <f t="shared" si="1"/>
        <v>10000</v>
      </c>
      <c r="K10" s="261"/>
      <c r="L10" s="262"/>
      <c r="M10" s="29">
        <f t="shared" si="0"/>
      </c>
    </row>
    <row r="11" spans="1:13" ht="13.5" customHeight="1">
      <c r="A11" s="252"/>
      <c r="B11" s="253"/>
      <c r="C11" s="254"/>
      <c r="D11" s="255">
        <v>308</v>
      </c>
      <c r="E11" s="257" t="s">
        <v>85</v>
      </c>
      <c r="F11" s="265" t="s">
        <v>289</v>
      </c>
      <c r="G11" s="258">
        <v>5000</v>
      </c>
      <c r="H11" s="259">
        <v>1</v>
      </c>
      <c r="I11" s="259">
        <v>5</v>
      </c>
      <c r="J11" s="260">
        <f t="shared" si="1"/>
        <v>25000</v>
      </c>
      <c r="K11" s="268"/>
      <c r="L11" s="269"/>
      <c r="M11" s="29">
        <f t="shared" si="0"/>
      </c>
    </row>
    <row r="12" spans="1:13" ht="14.25">
      <c r="A12" s="252"/>
      <c r="B12" s="253"/>
      <c r="C12" s="254"/>
      <c r="D12" s="255">
        <v>309</v>
      </c>
      <c r="E12" s="256" t="s">
        <v>86</v>
      </c>
      <c r="F12" s="257" t="s">
        <v>290</v>
      </c>
      <c r="G12" s="258">
        <v>45000</v>
      </c>
      <c r="H12" s="259">
        <v>1</v>
      </c>
      <c r="I12" s="259">
        <v>1</v>
      </c>
      <c r="J12" s="260">
        <f t="shared" si="1"/>
        <v>45000</v>
      </c>
      <c r="K12" s="272"/>
      <c r="L12" s="273"/>
      <c r="M12" s="29">
        <f t="shared" si="0"/>
      </c>
    </row>
    <row r="13" spans="1:13" ht="14.25">
      <c r="A13" s="252"/>
      <c r="B13" s="253"/>
      <c r="C13" s="254"/>
      <c r="D13" s="255">
        <v>310</v>
      </c>
      <c r="E13" s="256" t="s">
        <v>85</v>
      </c>
      <c r="F13" s="256" t="s">
        <v>298</v>
      </c>
      <c r="G13" s="270">
        <v>3000</v>
      </c>
      <c r="H13" s="271">
        <v>1</v>
      </c>
      <c r="I13" s="271">
        <v>7</v>
      </c>
      <c r="J13" s="260">
        <f t="shared" si="1"/>
        <v>21000</v>
      </c>
      <c r="K13" s="261"/>
      <c r="L13" s="262"/>
      <c r="M13" s="29">
        <f t="shared" si="0"/>
      </c>
    </row>
    <row r="14" spans="1:13" ht="13.5" customHeight="1">
      <c r="A14" s="252"/>
      <c r="B14" s="253"/>
      <c r="C14" s="254"/>
      <c r="D14" s="255">
        <v>311</v>
      </c>
      <c r="E14" s="256" t="s">
        <v>85</v>
      </c>
      <c r="F14" s="257" t="s">
        <v>297</v>
      </c>
      <c r="G14" s="270">
        <v>21600</v>
      </c>
      <c r="H14" s="271">
        <v>1</v>
      </c>
      <c r="I14" s="271">
        <v>3</v>
      </c>
      <c r="J14" s="260">
        <f t="shared" si="1"/>
        <v>64800</v>
      </c>
      <c r="K14" s="275"/>
      <c r="L14" s="262"/>
      <c r="M14" s="29">
        <f t="shared" si="0"/>
      </c>
    </row>
    <row r="15" spans="1:13" ht="13.5">
      <c r="A15" s="252">
        <v>3</v>
      </c>
      <c r="B15" s="253" t="s">
        <v>294</v>
      </c>
      <c r="C15" s="254" t="s">
        <v>295</v>
      </c>
      <c r="D15" s="255">
        <v>312</v>
      </c>
      <c r="E15" s="257" t="s">
        <v>125</v>
      </c>
      <c r="F15" s="265" t="s">
        <v>327</v>
      </c>
      <c r="G15" s="258">
        <v>48000</v>
      </c>
      <c r="H15" s="259">
        <v>1</v>
      </c>
      <c r="I15" s="259">
        <v>1</v>
      </c>
      <c r="J15" s="260">
        <f t="shared" si="1"/>
        <v>48000</v>
      </c>
      <c r="K15" s="279"/>
      <c r="L15" s="280"/>
      <c r="M15" s="29">
        <f t="shared" si="0"/>
      </c>
    </row>
    <row r="16" spans="1:13" ht="13.5">
      <c r="A16" s="252"/>
      <c r="B16" s="253"/>
      <c r="C16" s="254"/>
      <c r="D16" s="255">
        <v>313</v>
      </c>
      <c r="E16" s="265" t="s">
        <v>125</v>
      </c>
      <c r="F16" s="256" t="s">
        <v>328</v>
      </c>
      <c r="G16" s="266">
        <v>80000</v>
      </c>
      <c r="H16" s="267">
        <v>2</v>
      </c>
      <c r="I16" s="267">
        <v>1</v>
      </c>
      <c r="J16" s="260">
        <f t="shared" si="1"/>
        <v>160000</v>
      </c>
      <c r="K16" s="261"/>
      <c r="L16" s="262"/>
      <c r="M16" s="29">
        <f t="shared" si="0"/>
      </c>
    </row>
    <row r="17" spans="1:13" ht="13.5">
      <c r="A17" s="252">
        <v>4</v>
      </c>
      <c r="B17" s="253" t="s">
        <v>348</v>
      </c>
      <c r="C17" s="254" t="s">
        <v>329</v>
      </c>
      <c r="D17" s="255">
        <v>314</v>
      </c>
      <c r="E17" s="256" t="s">
        <v>125</v>
      </c>
      <c r="F17" s="256" t="s">
        <v>330</v>
      </c>
      <c r="G17" s="270">
        <v>43000</v>
      </c>
      <c r="H17" s="271">
        <v>1</v>
      </c>
      <c r="I17" s="271">
        <v>1</v>
      </c>
      <c r="J17" s="260">
        <f t="shared" si="1"/>
        <v>43000</v>
      </c>
      <c r="K17" s="261"/>
      <c r="L17" s="262"/>
      <c r="M17" s="29">
        <f t="shared" si="0"/>
      </c>
    </row>
    <row r="18" spans="1:13" ht="13.5">
      <c r="A18" s="252">
        <v>5</v>
      </c>
      <c r="B18" s="253" t="s">
        <v>310</v>
      </c>
      <c r="C18" s="254" t="s">
        <v>331</v>
      </c>
      <c r="D18" s="255">
        <v>315</v>
      </c>
      <c r="E18" s="256" t="s">
        <v>125</v>
      </c>
      <c r="F18" s="257" t="s">
        <v>332</v>
      </c>
      <c r="G18" s="270">
        <v>138380</v>
      </c>
      <c r="H18" s="271">
        <v>1</v>
      </c>
      <c r="I18" s="271">
        <v>1</v>
      </c>
      <c r="J18" s="260">
        <f t="shared" si="1"/>
        <v>138380</v>
      </c>
      <c r="K18" s="261"/>
      <c r="L18" s="262"/>
      <c r="M18" s="29">
        <f t="shared" si="0"/>
      </c>
    </row>
    <row r="19" spans="1:13" ht="13.5">
      <c r="A19" s="252">
        <v>6</v>
      </c>
      <c r="B19" s="253" t="s">
        <v>300</v>
      </c>
      <c r="C19" s="254" t="s">
        <v>301</v>
      </c>
      <c r="D19" s="255">
        <v>316</v>
      </c>
      <c r="E19" s="257" t="s">
        <v>85</v>
      </c>
      <c r="F19" s="276" t="s">
        <v>333</v>
      </c>
      <c r="G19" s="258">
        <v>30000</v>
      </c>
      <c r="H19" s="259">
        <v>1</v>
      </c>
      <c r="I19" s="259">
        <v>1</v>
      </c>
      <c r="J19" s="260">
        <f t="shared" si="1"/>
        <v>30000</v>
      </c>
      <c r="K19" s="261"/>
      <c r="L19" s="262"/>
      <c r="M19" s="29">
        <f t="shared" si="0"/>
      </c>
    </row>
    <row r="20" spans="1:13" ht="13.5">
      <c r="A20" s="252"/>
      <c r="B20" s="253"/>
      <c r="C20" s="254"/>
      <c r="D20" s="255">
        <v>317</v>
      </c>
      <c r="E20" s="257" t="s">
        <v>125</v>
      </c>
      <c r="F20" s="257" t="s">
        <v>334</v>
      </c>
      <c r="G20" s="277">
        <v>1000</v>
      </c>
      <c r="H20" s="278">
        <v>1</v>
      </c>
      <c r="I20" s="278">
        <v>1</v>
      </c>
      <c r="J20" s="260">
        <f t="shared" si="1"/>
        <v>1000</v>
      </c>
      <c r="K20" s="261"/>
      <c r="L20" s="262"/>
      <c r="M20" s="29">
        <f t="shared" si="0"/>
      </c>
    </row>
    <row r="21" spans="1:13" ht="13.5">
      <c r="A21" s="252">
        <v>1</v>
      </c>
      <c r="B21" s="253" t="s">
        <v>281</v>
      </c>
      <c r="C21" s="254" t="s">
        <v>282</v>
      </c>
      <c r="D21" s="255">
        <v>318</v>
      </c>
      <c r="E21" s="257" t="s">
        <v>85</v>
      </c>
      <c r="F21" s="257" t="s">
        <v>326</v>
      </c>
      <c r="G21" s="258">
        <v>8000</v>
      </c>
      <c r="H21" s="259">
        <v>1</v>
      </c>
      <c r="I21" s="259">
        <v>1</v>
      </c>
      <c r="J21" s="260">
        <f t="shared" si="1"/>
        <v>8000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73" t="s">
        <v>176</v>
      </c>
      <c r="I106" s="573"/>
      <c r="J106" s="573" t="s">
        <v>98</v>
      </c>
      <c r="K106" s="583"/>
    </row>
    <row r="107" spans="4:11" ht="14.25" thickTop="1">
      <c r="D107" s="231"/>
      <c r="F107" s="297" t="s">
        <v>85</v>
      </c>
      <c r="G107" s="359">
        <f>SUMIF($E$4:$E$103,F107,$J$4:$J$103)</f>
        <v>297800</v>
      </c>
      <c r="H107" s="536">
        <f>SUMIF($E$4:$E$103,F107,$M$4:$M$103)</f>
        <v>0</v>
      </c>
      <c r="I107" s="536"/>
      <c r="J107" s="536">
        <f aca="true" t="shared" si="4" ref="J107:J115">G107-H107</f>
        <v>297800</v>
      </c>
      <c r="K107" s="623"/>
    </row>
    <row r="108" spans="4:11" ht="13.5">
      <c r="D108" s="231"/>
      <c r="F108" s="298" t="s">
        <v>86</v>
      </c>
      <c r="G108" s="358">
        <f aca="true" t="shared" si="5" ref="G108:G115">SUMIF($E$4:$E$103,F108,$J$4:$J$103)</f>
        <v>105000</v>
      </c>
      <c r="H108" s="544">
        <f aca="true" t="shared" si="6" ref="H108:H114">SUMIF($E$4:$E$103,F108,$M$4:$M$103)</f>
        <v>0</v>
      </c>
      <c r="I108" s="544"/>
      <c r="J108" s="544">
        <f t="shared" si="4"/>
        <v>105000</v>
      </c>
      <c r="K108" s="547"/>
    </row>
    <row r="109" spans="4:11" ht="13.5">
      <c r="D109" s="231"/>
      <c r="F109" s="298" t="s">
        <v>125</v>
      </c>
      <c r="G109" s="358">
        <f t="shared" si="5"/>
        <v>390380</v>
      </c>
      <c r="H109" s="544">
        <f t="shared" si="6"/>
        <v>0</v>
      </c>
      <c r="I109" s="544"/>
      <c r="J109" s="544">
        <f t="shared" si="4"/>
        <v>390380</v>
      </c>
      <c r="K109" s="547"/>
    </row>
    <row r="110" spans="4:11" ht="13.5">
      <c r="D110" s="231"/>
      <c r="F110" s="298" t="s">
        <v>126</v>
      </c>
      <c r="G110" s="358">
        <f t="shared" si="5"/>
        <v>0</v>
      </c>
      <c r="H110" s="544">
        <f t="shared" si="6"/>
        <v>0</v>
      </c>
      <c r="I110" s="544"/>
      <c r="J110" s="544">
        <f t="shared" si="4"/>
        <v>0</v>
      </c>
      <c r="K110" s="547"/>
    </row>
    <row r="111" spans="4:11" ht="13.5">
      <c r="D111" s="231"/>
      <c r="F111" s="298" t="s">
        <v>87</v>
      </c>
      <c r="G111" s="358">
        <f t="shared" si="5"/>
        <v>0</v>
      </c>
      <c r="H111" s="544">
        <f t="shared" si="6"/>
        <v>0</v>
      </c>
      <c r="I111" s="544"/>
      <c r="J111" s="544">
        <f t="shared" si="4"/>
        <v>0</v>
      </c>
      <c r="K111" s="547"/>
    </row>
    <row r="112" spans="4:11" ht="13.5">
      <c r="D112" s="231"/>
      <c r="F112" s="298" t="s">
        <v>88</v>
      </c>
      <c r="G112" s="358">
        <f t="shared" si="5"/>
        <v>0</v>
      </c>
      <c r="H112" s="544">
        <f t="shared" si="6"/>
        <v>0</v>
      </c>
      <c r="I112" s="544"/>
      <c r="J112" s="544">
        <f t="shared" si="4"/>
        <v>0</v>
      </c>
      <c r="K112" s="547"/>
    </row>
    <row r="113" spans="4:11" ht="13.5">
      <c r="D113" s="231"/>
      <c r="F113" s="298" t="s">
        <v>89</v>
      </c>
      <c r="G113" s="358">
        <f t="shared" si="5"/>
        <v>0</v>
      </c>
      <c r="H113" s="544">
        <f t="shared" si="6"/>
        <v>0</v>
      </c>
      <c r="I113" s="544"/>
      <c r="J113" s="544">
        <f t="shared" si="4"/>
        <v>0</v>
      </c>
      <c r="K113" s="547"/>
    </row>
    <row r="114" spans="4:11" ht="13.5">
      <c r="D114" s="231"/>
      <c r="F114" s="298" t="s">
        <v>90</v>
      </c>
      <c r="G114" s="358">
        <f t="shared" si="5"/>
        <v>0</v>
      </c>
      <c r="H114" s="544">
        <f t="shared" si="6"/>
        <v>0</v>
      </c>
      <c r="I114" s="544"/>
      <c r="J114" s="544">
        <f t="shared" si="4"/>
        <v>0</v>
      </c>
      <c r="K114" s="547"/>
    </row>
    <row r="115" spans="4:11" ht="14.25" thickBot="1">
      <c r="D115" s="231"/>
      <c r="F115" s="297" t="s">
        <v>138</v>
      </c>
      <c r="G115" s="358">
        <f t="shared" si="5"/>
        <v>21000</v>
      </c>
      <c r="H115" s="594">
        <f>SUMIF($E$4:$E$103,F115,$M$4:$M$103)+'2-3'!I122</f>
        <v>0</v>
      </c>
      <c r="I115" s="594"/>
      <c r="J115" s="594">
        <f t="shared" si="4"/>
        <v>21000</v>
      </c>
      <c r="K115" s="595"/>
    </row>
    <row r="116" spans="4:11" ht="15" thickBot="1" thickTop="1">
      <c r="D116" s="389"/>
      <c r="F116" s="299" t="s">
        <v>15</v>
      </c>
      <c r="G116" s="360">
        <f>SUM(G107:G115)</f>
        <v>814180</v>
      </c>
      <c r="H116" s="596">
        <f>SUM(H107:I115)</f>
        <v>0</v>
      </c>
      <c r="I116" s="596"/>
      <c r="J116" s="596">
        <f>SUM(J107:K115)</f>
        <v>814180</v>
      </c>
      <c r="K116" s="59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145</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515" t="s">
        <v>266</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s="24" customFormat="1" ht="24" customHeight="1" thickBot="1">
      <c r="A13" s="624"/>
      <c r="B13" s="593"/>
      <c r="C13" s="593"/>
      <c r="D13" s="593"/>
      <c r="E13" s="593"/>
      <c r="F13" s="593"/>
      <c r="G13" s="593"/>
      <c r="H13" s="593"/>
      <c r="I13" s="593"/>
      <c r="J13" s="593"/>
      <c r="K13" s="593"/>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25" t="s">
        <v>136</v>
      </c>
      <c r="C18" s="626"/>
      <c r="D18" s="626"/>
      <c r="E18" s="626"/>
      <c r="F18" s="626"/>
      <c r="G18" s="626"/>
      <c r="H18" s="626"/>
      <c r="I18" s="626"/>
      <c r="J18" s="626"/>
      <c r="K18" s="62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6">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0" t="s">
        <v>142</v>
      </c>
      <c r="C3" s="59" t="s">
        <v>144</v>
      </c>
      <c r="D3" s="390" t="s">
        <v>147</v>
      </c>
      <c r="E3" s="96" t="s">
        <v>0</v>
      </c>
      <c r="F3" s="96" t="s">
        <v>197</v>
      </c>
      <c r="G3" s="96" t="s">
        <v>91</v>
      </c>
      <c r="H3" s="476" t="s">
        <v>246</v>
      </c>
      <c r="I3" s="96" t="s">
        <v>92</v>
      </c>
      <c r="J3" s="96" t="s">
        <v>93</v>
      </c>
      <c r="K3" s="228" t="s">
        <v>111</v>
      </c>
      <c r="L3" s="296" t="s">
        <v>107</v>
      </c>
      <c r="M3" s="29" t="s">
        <v>99</v>
      </c>
    </row>
    <row r="4" spans="1:13" ht="13.5" customHeight="1">
      <c r="A4" s="361"/>
      <c r="B4" s="391"/>
      <c r="C4" s="392"/>
      <c r="D4" s="244">
        <v>101</v>
      </c>
      <c r="E4" s="245"/>
      <c r="F4" s="246"/>
      <c r="G4" s="247"/>
      <c r="H4" s="248"/>
      <c r="I4" s="248"/>
      <c r="J4" s="249">
        <f>G4*H4*I4</f>
        <v>0</v>
      </c>
      <c r="K4" s="250"/>
      <c r="L4" s="251"/>
      <c r="M4" s="29">
        <f aca="true" t="shared" si="0" ref="M4:M23">IF(K4="◎",J4,"")</f>
      </c>
    </row>
    <row r="5" spans="1:13" ht="13.5" customHeight="1">
      <c r="A5" s="252"/>
      <c r="B5" s="393"/>
      <c r="C5" s="394"/>
      <c r="D5" s="255">
        <v>102</v>
      </c>
      <c r="E5" s="256"/>
      <c r="F5" s="257"/>
      <c r="G5" s="258"/>
      <c r="H5" s="259"/>
      <c r="I5" s="259"/>
      <c r="J5" s="260">
        <f>G5*H5*I5</f>
        <v>0</v>
      </c>
      <c r="K5" s="261"/>
      <c r="L5" s="262"/>
      <c r="M5" s="29">
        <f t="shared" si="0"/>
      </c>
    </row>
    <row r="6" spans="1:13" ht="13.5" customHeight="1">
      <c r="A6" s="252"/>
      <c r="B6" s="395"/>
      <c r="C6" s="394"/>
      <c r="D6" s="255">
        <v>103</v>
      </c>
      <c r="E6" s="256"/>
      <c r="F6" s="257"/>
      <c r="G6" s="258"/>
      <c r="H6" s="259"/>
      <c r="I6" s="259"/>
      <c r="J6" s="260">
        <f aca="true" t="shared" si="1" ref="J6:J23">G6*H6*I6</f>
        <v>0</v>
      </c>
      <c r="K6" s="261"/>
      <c r="L6" s="262"/>
      <c r="M6" s="29">
        <f t="shared" si="0"/>
      </c>
    </row>
    <row r="7" spans="1:13" ht="13.5" customHeight="1">
      <c r="A7" s="252"/>
      <c r="B7" s="395"/>
      <c r="C7" s="394"/>
      <c r="D7" s="255">
        <v>104</v>
      </c>
      <c r="E7" s="256"/>
      <c r="F7" s="257"/>
      <c r="G7" s="258"/>
      <c r="H7" s="259"/>
      <c r="I7" s="259"/>
      <c r="J7" s="260">
        <f t="shared" si="1"/>
        <v>0</v>
      </c>
      <c r="K7" s="261"/>
      <c r="L7" s="262"/>
      <c r="M7" s="29">
        <f t="shared" si="0"/>
      </c>
    </row>
    <row r="8" spans="1:13" ht="13.5" customHeight="1">
      <c r="A8" s="252"/>
      <c r="B8" s="395"/>
      <c r="C8" s="394"/>
      <c r="D8" s="255">
        <v>105</v>
      </c>
      <c r="E8" s="256"/>
      <c r="F8" s="257"/>
      <c r="G8" s="258"/>
      <c r="H8" s="259"/>
      <c r="I8" s="259"/>
      <c r="J8" s="260">
        <f t="shared" si="1"/>
        <v>0</v>
      </c>
      <c r="K8" s="261"/>
      <c r="L8" s="262"/>
      <c r="M8" s="29">
        <f t="shared" si="0"/>
      </c>
    </row>
    <row r="9" spans="1:13" ht="13.5" customHeight="1">
      <c r="A9" s="252"/>
      <c r="B9" s="395"/>
      <c r="C9" s="394"/>
      <c r="D9" s="255">
        <v>106</v>
      </c>
      <c r="E9" s="256"/>
      <c r="F9" s="257"/>
      <c r="G9" s="258"/>
      <c r="H9" s="259"/>
      <c r="I9" s="259"/>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3" t="s">
        <v>176</v>
      </c>
      <c r="I26" s="573"/>
      <c r="J26" s="573" t="s">
        <v>173</v>
      </c>
      <c r="K26" s="583"/>
    </row>
    <row r="27" spans="2:11" ht="13.5" customHeight="1" thickTop="1">
      <c r="B27" s="53"/>
      <c r="C27" s="53"/>
      <c r="D27" s="67"/>
      <c r="F27" s="297" t="s">
        <v>85</v>
      </c>
      <c r="G27" s="348">
        <f>SUMIF($E$4:$E$23,F27,$J$4:$J$23)</f>
        <v>0</v>
      </c>
      <c r="H27" s="536">
        <f>SUMIF($E$4:$E$23,F27,$M$4:$M$23)</f>
        <v>0</v>
      </c>
      <c r="I27" s="536"/>
      <c r="J27" s="536">
        <f aca="true" t="shared" si="2" ref="J27:J35">G27-H27</f>
        <v>0</v>
      </c>
      <c r="K27" s="623"/>
    </row>
    <row r="28" spans="2:11" ht="13.5" customHeight="1">
      <c r="B28" s="53"/>
      <c r="C28" s="53"/>
      <c r="D28" s="67"/>
      <c r="F28" s="298" t="s">
        <v>86</v>
      </c>
      <c r="G28" s="348">
        <f aca="true" t="shared" si="3" ref="G28:G35">SUMIF($E$4:$E$23,F28,$J$4:$J$23)</f>
        <v>0</v>
      </c>
      <c r="H28" s="544">
        <f aca="true" t="shared" si="4" ref="H28:H35">SUMIF($E$4:$E$23,F28,$M$4:$M$23)</f>
        <v>0</v>
      </c>
      <c r="I28" s="544"/>
      <c r="J28" s="544">
        <f t="shared" si="2"/>
        <v>0</v>
      </c>
      <c r="K28" s="547"/>
    </row>
    <row r="29" spans="2:11" ht="13.5" customHeight="1">
      <c r="B29" s="53"/>
      <c r="C29" s="53"/>
      <c r="D29" s="67"/>
      <c r="F29" s="298" t="s">
        <v>125</v>
      </c>
      <c r="G29" s="348">
        <f t="shared" si="3"/>
        <v>0</v>
      </c>
      <c r="H29" s="544">
        <f t="shared" si="4"/>
        <v>0</v>
      </c>
      <c r="I29" s="544"/>
      <c r="J29" s="544">
        <f t="shared" si="2"/>
        <v>0</v>
      </c>
      <c r="K29" s="547"/>
    </row>
    <row r="30" spans="2:11" ht="13.5" customHeight="1">
      <c r="B30" s="53"/>
      <c r="C30" s="53"/>
      <c r="D30" s="67"/>
      <c r="F30" s="298" t="s">
        <v>126</v>
      </c>
      <c r="G30" s="348">
        <f t="shared" si="3"/>
        <v>0</v>
      </c>
      <c r="H30" s="544">
        <f t="shared" si="4"/>
        <v>0</v>
      </c>
      <c r="I30" s="544"/>
      <c r="J30" s="544">
        <f t="shared" si="2"/>
        <v>0</v>
      </c>
      <c r="K30" s="547"/>
    </row>
    <row r="31" spans="2:11" ht="13.5" customHeight="1">
      <c r="B31" s="53"/>
      <c r="C31" s="53"/>
      <c r="D31" s="67"/>
      <c r="F31" s="298" t="s">
        <v>87</v>
      </c>
      <c r="G31" s="348">
        <f t="shared" si="3"/>
        <v>0</v>
      </c>
      <c r="H31" s="544">
        <f t="shared" si="4"/>
        <v>0</v>
      </c>
      <c r="I31" s="544"/>
      <c r="J31" s="544">
        <f t="shared" si="2"/>
        <v>0</v>
      </c>
      <c r="K31" s="547"/>
    </row>
    <row r="32" spans="2:11" ht="13.5" customHeight="1">
      <c r="B32" s="53"/>
      <c r="C32" s="53"/>
      <c r="D32" s="67"/>
      <c r="F32" s="298" t="s">
        <v>88</v>
      </c>
      <c r="G32" s="348">
        <f t="shared" si="3"/>
        <v>0</v>
      </c>
      <c r="H32" s="544">
        <f t="shared" si="4"/>
        <v>0</v>
      </c>
      <c r="I32" s="544"/>
      <c r="J32" s="544">
        <f t="shared" si="2"/>
        <v>0</v>
      </c>
      <c r="K32" s="547"/>
    </row>
    <row r="33" spans="2:11" ht="13.5" customHeight="1">
      <c r="B33" s="53"/>
      <c r="C33" s="53"/>
      <c r="D33" s="67"/>
      <c r="F33" s="298" t="s">
        <v>89</v>
      </c>
      <c r="G33" s="348">
        <f t="shared" si="3"/>
        <v>0</v>
      </c>
      <c r="H33" s="544">
        <f t="shared" si="4"/>
        <v>0</v>
      </c>
      <c r="I33" s="544"/>
      <c r="J33" s="544">
        <f t="shared" si="2"/>
        <v>0</v>
      </c>
      <c r="K33" s="547"/>
    </row>
    <row r="34" spans="2:11" ht="13.5" customHeight="1">
      <c r="B34" s="53"/>
      <c r="C34" s="53"/>
      <c r="D34" s="67"/>
      <c r="F34" s="298" t="s">
        <v>90</v>
      </c>
      <c r="G34" s="348">
        <f t="shared" si="3"/>
        <v>0</v>
      </c>
      <c r="H34" s="544">
        <f t="shared" si="4"/>
        <v>0</v>
      </c>
      <c r="I34" s="544"/>
      <c r="J34" s="544">
        <f t="shared" si="2"/>
        <v>0</v>
      </c>
      <c r="K34" s="547"/>
    </row>
    <row r="35" spans="2:11" ht="13.5" customHeight="1" thickBot="1">
      <c r="B35" s="53"/>
      <c r="C35" s="53"/>
      <c r="D35" s="67"/>
      <c r="F35" s="430" t="s">
        <v>138</v>
      </c>
      <c r="G35" s="432">
        <f t="shared" si="3"/>
        <v>0</v>
      </c>
      <c r="H35" s="594">
        <f t="shared" si="4"/>
        <v>0</v>
      </c>
      <c r="I35" s="594"/>
      <c r="J35" s="594">
        <f t="shared" si="2"/>
        <v>0</v>
      </c>
      <c r="K35" s="595"/>
    </row>
    <row r="36" spans="2:11" ht="13.5" customHeight="1" thickBot="1" thickTop="1">
      <c r="B36" s="53"/>
      <c r="C36" s="53"/>
      <c r="D36" s="47"/>
      <c r="F36" s="428" t="s">
        <v>15</v>
      </c>
      <c r="G36" s="357">
        <f>SUM(G27:G35)</f>
        <v>0</v>
      </c>
      <c r="H36" s="596">
        <f>SUM(H27:H35)</f>
        <v>0</v>
      </c>
      <c r="I36" s="596"/>
      <c r="J36" s="596">
        <f>SUM(J27:J35)</f>
        <v>0</v>
      </c>
      <c r="K36" s="59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2" t="s">
        <v>315</v>
      </c>
      <c r="I1" s="512"/>
      <c r="J1" s="512"/>
      <c r="K1" s="512"/>
    </row>
    <row r="2" spans="8:11" s="1" customFormat="1" ht="18" customHeight="1">
      <c r="H2" s="512" t="s">
        <v>316</v>
      </c>
      <c r="I2" s="512"/>
      <c r="J2" s="512"/>
      <c r="K2" s="512"/>
    </row>
    <row r="3" s="1" customFormat="1" ht="18" customHeight="1">
      <c r="K3" s="2"/>
    </row>
    <row r="4" spans="8:11" s="1" customFormat="1" ht="18" customHeight="1">
      <c r="H4" s="513" t="s">
        <v>321</v>
      </c>
      <c r="I4" s="513"/>
      <c r="J4" s="513"/>
      <c r="K4" s="513"/>
    </row>
    <row r="5" spans="8:11" s="1" customFormat="1" ht="18" customHeight="1">
      <c r="H5" s="514">
        <v>42919</v>
      </c>
      <c r="I5" s="513"/>
      <c r="J5" s="513"/>
      <c r="K5" s="513"/>
    </row>
    <row r="6" spans="1:11" s="1" customFormat="1" ht="18" customHeight="1">
      <c r="A6" s="3" t="s">
        <v>2</v>
      </c>
      <c r="H6" s="4"/>
      <c r="K6" s="11"/>
    </row>
    <row r="7" spans="1:11" s="1" customFormat="1" ht="18" customHeight="1">
      <c r="A7" s="4"/>
      <c r="H7" s="513" t="s">
        <v>317</v>
      </c>
      <c r="I7" s="513"/>
      <c r="J7" s="513"/>
      <c r="K7" s="513"/>
    </row>
    <row r="8" spans="1:11" s="1" customFormat="1" ht="18" customHeight="1">
      <c r="A8" s="4"/>
      <c r="H8" s="513" t="s">
        <v>318</v>
      </c>
      <c r="I8" s="513"/>
      <c r="J8" s="513"/>
      <c r="K8" s="513"/>
    </row>
    <row r="9" spans="1:11" s="1" customFormat="1" ht="42" customHeight="1">
      <c r="A9" s="4"/>
      <c r="H9" s="2"/>
      <c r="K9" s="46"/>
    </row>
    <row r="10" spans="1:11" ht="24" customHeight="1">
      <c r="A10" s="515" t="s">
        <v>268</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592"/>
      <c r="H14" s="593"/>
      <c r="I14" s="593"/>
      <c r="J14" s="593"/>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430400</v>
      </c>
      <c r="C16" s="322">
        <f>'1-1'!C21</f>
        <v>150000</v>
      </c>
      <c r="D16" s="322">
        <f>'1-1'!D21</f>
        <v>69000</v>
      </c>
      <c r="E16" s="322">
        <f>'1-1'!E21</f>
        <v>0</v>
      </c>
      <c r="F16" s="322">
        <f>'1-1'!F21</f>
        <v>0</v>
      </c>
      <c r="G16" s="322">
        <f>'1-1'!G21</f>
        <v>0</v>
      </c>
      <c r="H16" s="322">
        <f>'1-1'!H21</f>
        <v>0</v>
      </c>
      <c r="I16" s="322">
        <f>'1-1'!I21</f>
        <v>0</v>
      </c>
      <c r="J16" s="437">
        <f>'1-1'!J21</f>
        <v>164620</v>
      </c>
      <c r="K16" s="438">
        <f aca="true" t="shared" si="0" ref="K16:K22">SUM(B16:J16)</f>
        <v>814020</v>
      </c>
    </row>
    <row r="17" spans="1:11" ht="39" customHeight="1">
      <c r="A17" s="21" t="s">
        <v>16</v>
      </c>
      <c r="B17" s="436">
        <f>'随時②-2'!G38</f>
        <v>-20000</v>
      </c>
      <c r="C17" s="322">
        <f>'随時②-2'!G39</f>
        <v>20000</v>
      </c>
      <c r="D17" s="322">
        <f>'随時②-2'!G40</f>
        <v>0</v>
      </c>
      <c r="E17" s="322">
        <f>'随時②-2'!G41</f>
        <v>0</v>
      </c>
      <c r="F17" s="322">
        <f>'随時②-2'!G42</f>
        <v>0</v>
      </c>
      <c r="G17" s="322">
        <f>'随時②-2'!G43</f>
        <v>0</v>
      </c>
      <c r="H17" s="322">
        <f>'随時②-2'!G44</f>
        <v>0</v>
      </c>
      <c r="I17" s="322">
        <f>'随時②-2'!G45</f>
        <v>0</v>
      </c>
      <c r="J17" s="437">
        <f>'随時②-2'!G46</f>
        <v>0</v>
      </c>
      <c r="K17" s="438">
        <f t="shared" si="0"/>
        <v>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-20000</v>
      </c>
      <c r="C19" s="453">
        <f aca="true" t="shared" si="1" ref="C19:J19">C17-C18</f>
        <v>20000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165</v>
      </c>
      <c r="B20" s="224">
        <f>SUM(B16:B17)</f>
        <v>410400</v>
      </c>
      <c r="C20" s="224">
        <f aca="true" t="shared" si="2" ref="C20:J20">SUM(C16:C17)</f>
        <v>170000</v>
      </c>
      <c r="D20" s="224">
        <f t="shared" si="2"/>
        <v>69000</v>
      </c>
      <c r="E20" s="224">
        <f t="shared" si="2"/>
        <v>0</v>
      </c>
      <c r="F20" s="224">
        <f t="shared" si="2"/>
        <v>0</v>
      </c>
      <c r="G20" s="224">
        <f t="shared" si="2"/>
        <v>0</v>
      </c>
      <c r="H20" s="224">
        <f t="shared" si="2"/>
        <v>0</v>
      </c>
      <c r="I20" s="224">
        <f t="shared" si="2"/>
        <v>0</v>
      </c>
      <c r="J20" s="224">
        <f t="shared" si="2"/>
        <v>164620</v>
      </c>
      <c r="K20" s="435">
        <f t="shared" si="0"/>
        <v>814020</v>
      </c>
    </row>
    <row r="21" spans="1:11" ht="39" customHeight="1">
      <c r="A21" s="21" t="s">
        <v>166</v>
      </c>
      <c r="B21" s="455">
        <f>'1-1'!B22</f>
        <v>30000</v>
      </c>
      <c r="C21" s="455">
        <f>'1-1'!C22</f>
        <v>0</v>
      </c>
      <c r="D21" s="455">
        <f>'1-1'!D22</f>
        <v>345980</v>
      </c>
      <c r="E21" s="455">
        <f>'1-1'!E22</f>
        <v>0</v>
      </c>
      <c r="F21" s="455">
        <f>'1-1'!F22</f>
        <v>0</v>
      </c>
      <c r="G21" s="455">
        <f>'1-1'!G22</f>
        <v>0</v>
      </c>
      <c r="H21" s="455">
        <f>'1-1'!H22</f>
        <v>0</v>
      </c>
      <c r="I21" s="455">
        <f>'1-1'!I22</f>
        <v>0</v>
      </c>
      <c r="J21" s="455">
        <f>'1-1'!J22</f>
        <v>0</v>
      </c>
      <c r="K21" s="438">
        <f t="shared" si="0"/>
        <v>375980</v>
      </c>
    </row>
    <row r="22" spans="1:11" ht="39" customHeight="1" thickBot="1">
      <c r="A22" s="22" t="s">
        <v>164</v>
      </c>
      <c r="B22" s="220">
        <f>SUM(B20:B21)</f>
        <v>440400</v>
      </c>
      <c r="C22" s="220">
        <f aca="true" t="shared" si="3" ref="C22:J22">SUM(C20:C21)</f>
        <v>170000</v>
      </c>
      <c r="D22" s="220">
        <f t="shared" si="3"/>
        <v>414980</v>
      </c>
      <c r="E22" s="220">
        <f t="shared" si="3"/>
        <v>0</v>
      </c>
      <c r="F22" s="220">
        <f t="shared" si="3"/>
        <v>0</v>
      </c>
      <c r="G22" s="220">
        <f t="shared" si="3"/>
        <v>0</v>
      </c>
      <c r="H22" s="220">
        <f t="shared" si="3"/>
        <v>0</v>
      </c>
      <c r="I22" s="220">
        <f t="shared" si="3"/>
        <v>0</v>
      </c>
      <c r="J22" s="220">
        <f t="shared" si="3"/>
        <v>164620</v>
      </c>
      <c r="K22" s="223">
        <f t="shared" si="0"/>
        <v>1190000</v>
      </c>
    </row>
    <row r="23" spans="1:11" ht="39" customHeight="1" thickBot="1">
      <c r="A23" s="32" t="s">
        <v>104</v>
      </c>
      <c r="B23" s="625" t="s">
        <v>322</v>
      </c>
      <c r="C23" s="626"/>
      <c r="D23" s="626"/>
      <c r="E23" s="626"/>
      <c r="F23" s="626"/>
      <c r="G23" s="626"/>
      <c r="H23" s="626"/>
      <c r="I23" s="626"/>
      <c r="J23" s="626"/>
      <c r="K23" s="627"/>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I21" sqref="I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8" t="s">
        <v>111</v>
      </c>
      <c r="L3" s="410" t="s">
        <v>107</v>
      </c>
    </row>
    <row r="4" spans="1:13" ht="13.5" customHeight="1">
      <c r="A4" s="91"/>
      <c r="B4" s="67"/>
      <c r="C4" s="67"/>
      <c r="D4" s="411">
        <v>15</v>
      </c>
      <c r="E4" s="316" t="str">
        <f>IF($D4="","",IF($D4&lt;=100,VLOOKUP($D4,'1-2'!$D$4:$L$103,2),VLOOKUP($D4,'随時①-2'!$D$4:$L$23,2)))</f>
        <v>報償費</v>
      </c>
      <c r="F4" s="316" t="str">
        <f>IF($D4="","",IF($D4&lt;=100,VLOOKUP($D4,'1-2'!$D$4:$L$103,3),VLOOKUP($D4,'随時①-2'!$D$4:$L$23,3)))</f>
        <v>地域校教員向け研修講師謝礼</v>
      </c>
      <c r="G4" s="225">
        <f>IF($D4="","",IF($D4&lt;=100,VLOOKUP($D4,'1-2'!$D$4:$L$103,4),VLOOKUP($D4,'随時①-2'!$D$4:$L$23,4)))</f>
        <v>20000</v>
      </c>
      <c r="H4" s="317">
        <f>IF($D4="","",IF($D4&lt;=100,VLOOKUP($D4,'1-2'!$D$4:$L$103,5),VLOOKUP($D4,'随時①-2'!$D$4:$L$23,5)))</f>
        <v>1</v>
      </c>
      <c r="I4" s="317">
        <f>IF($D4="","",IF($D4&lt;=100,VLOOKUP($D4,'1-2'!$D$4:$L$103,6),VLOOKUP($D4,'随時①-2'!$D$4:$L$23,6)))</f>
        <v>1</v>
      </c>
      <c r="J4" s="225">
        <f>IF($D4="","",IF($D4&lt;=100,VLOOKUP($D4,'1-2'!$D$4:$L$103,7),VLOOKUP($D4,'随時①-2'!$D$4:$L$23,7)))</f>
        <v>20000</v>
      </c>
      <c r="K4" s="412">
        <f>IF($D4="","",IF($D4&lt;=100,VLOOKUP($D4,'1-2'!$D$4:$L$103,8),VLOOKUP($D4,'随時①-2'!$D$4:$L$23,8)))</f>
        <v>0</v>
      </c>
      <c r="L4" s="413">
        <f>IF($D4="","",IF($D4&lt;=100,VLOOKUP($D4,'1-2'!$D$4:$L$103,9),VLOOKUP($D4,'随時①-2'!$D$4:$L$23,9)))</f>
        <v>0</v>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8" t="s">
        <v>111</v>
      </c>
      <c r="L20" s="410" t="s">
        <v>107</v>
      </c>
    </row>
    <row r="21" spans="1:13" ht="14.25">
      <c r="A21" s="361">
        <v>5</v>
      </c>
      <c r="B21" s="242" t="s">
        <v>319</v>
      </c>
      <c r="C21" s="263" t="s">
        <v>312</v>
      </c>
      <c r="D21" s="402">
        <v>201</v>
      </c>
      <c r="E21" s="276" t="s">
        <v>86</v>
      </c>
      <c r="F21" s="276" t="s">
        <v>320</v>
      </c>
      <c r="G21" s="277">
        <v>20000</v>
      </c>
      <c r="H21" s="278">
        <v>1</v>
      </c>
      <c r="I21" s="278">
        <v>1</v>
      </c>
      <c r="J21" s="403">
        <f>G21*H21*I21</f>
        <v>20000</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4.25">
      <c r="A28" s="252"/>
      <c r="B28" s="253"/>
      <c r="C28" s="254"/>
      <c r="D28" s="404">
        <v>208</v>
      </c>
      <c r="E28" s="276"/>
      <c r="F28" s="257"/>
      <c r="G28" s="258"/>
      <c r="H28" s="259"/>
      <c r="I28" s="259"/>
      <c r="J28" s="260">
        <f t="shared" si="2"/>
        <v>0</v>
      </c>
      <c r="K28" s="261"/>
      <c r="L28" s="262"/>
      <c r="M28" s="5">
        <f t="shared" si="1"/>
      </c>
    </row>
    <row r="29" spans="1:13" ht="14.2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248</v>
      </c>
      <c r="F36" s="630"/>
      <c r="G36" s="630"/>
    </row>
    <row r="37" spans="1:12" ht="24" customHeight="1" thickBot="1">
      <c r="A37" s="53"/>
      <c r="B37" s="53"/>
      <c r="C37" s="53"/>
      <c r="D37" s="53"/>
      <c r="E37" s="240" t="s">
        <v>96</v>
      </c>
      <c r="F37" s="230" t="s">
        <v>109</v>
      </c>
      <c r="G37" s="157" t="s">
        <v>16</v>
      </c>
      <c r="H37" s="631" t="s">
        <v>245</v>
      </c>
      <c r="I37" s="632"/>
      <c r="J37" s="230" t="s">
        <v>108</v>
      </c>
      <c r="K37" s="527" t="s">
        <v>193</v>
      </c>
      <c r="L37" s="609"/>
    </row>
    <row r="38" spans="1:12" ht="14.25" thickTop="1">
      <c r="A38" s="53"/>
      <c r="B38" s="53"/>
      <c r="C38" s="53"/>
      <c r="D38" s="53"/>
      <c r="E38" s="297" t="s">
        <v>85</v>
      </c>
      <c r="F38" s="348">
        <f>'1-1'!B21</f>
        <v>430400</v>
      </c>
      <c r="G38" s="350">
        <f aca="true" t="shared" si="3" ref="G38:G46">-SUMIF($E$4:$E$18,$E38,$J$4:$J$18)+SUMIF($E$21:$E$35,$E38,$J$21:$J$35)</f>
        <v>-20000</v>
      </c>
      <c r="H38" s="536">
        <f aca="true" t="shared" si="4" ref="H38:H46">-SUMIF($E$4:$E$18,$E38,$M$4:$M$18)+SUMIF($E$21:$E$35,$E38,$M$21:$M$35)</f>
        <v>0</v>
      </c>
      <c r="I38" s="536"/>
      <c r="J38" s="349">
        <f aca="true" t="shared" si="5" ref="J38:J46">G38-H38</f>
        <v>-20000</v>
      </c>
      <c r="K38" s="536">
        <f aca="true" t="shared" si="6" ref="K38:K46">F38+G38</f>
        <v>410400</v>
      </c>
      <c r="L38" s="623"/>
    </row>
    <row r="39" spans="1:12" ht="13.5">
      <c r="A39" s="53"/>
      <c r="B39" s="53"/>
      <c r="C39" s="53"/>
      <c r="D39" s="53"/>
      <c r="E39" s="298" t="s">
        <v>86</v>
      </c>
      <c r="F39" s="352">
        <f>'1-1'!C21</f>
        <v>150000</v>
      </c>
      <c r="G39" s="350">
        <f t="shared" si="3"/>
        <v>20000</v>
      </c>
      <c r="H39" s="544">
        <f t="shared" si="4"/>
        <v>0</v>
      </c>
      <c r="I39" s="544"/>
      <c r="J39" s="352">
        <f t="shared" si="5"/>
        <v>20000</v>
      </c>
      <c r="K39" s="544">
        <f t="shared" si="6"/>
        <v>170000</v>
      </c>
      <c r="L39" s="547"/>
    </row>
    <row r="40" spans="1:12" ht="13.5">
      <c r="A40" s="53"/>
      <c r="B40" s="53"/>
      <c r="C40" s="53"/>
      <c r="D40" s="53"/>
      <c r="E40" s="298" t="s">
        <v>125</v>
      </c>
      <c r="F40" s="352">
        <f>'1-1'!D21</f>
        <v>69000</v>
      </c>
      <c r="G40" s="350">
        <f t="shared" si="3"/>
        <v>0</v>
      </c>
      <c r="H40" s="544">
        <f t="shared" si="4"/>
        <v>0</v>
      </c>
      <c r="I40" s="544"/>
      <c r="J40" s="352">
        <f t="shared" si="5"/>
        <v>0</v>
      </c>
      <c r="K40" s="544">
        <f t="shared" si="6"/>
        <v>69000</v>
      </c>
      <c r="L40" s="547"/>
    </row>
    <row r="41" spans="1:12" ht="13.5">
      <c r="A41" s="53"/>
      <c r="B41" s="53"/>
      <c r="C41" s="53"/>
      <c r="D41" s="53"/>
      <c r="E41" s="298" t="s">
        <v>126</v>
      </c>
      <c r="F41" s="352">
        <f>'1-1'!E21</f>
        <v>0</v>
      </c>
      <c r="G41" s="350">
        <f t="shared" si="3"/>
        <v>0</v>
      </c>
      <c r="H41" s="544">
        <f t="shared" si="4"/>
        <v>0</v>
      </c>
      <c r="I41" s="544"/>
      <c r="J41" s="352">
        <f t="shared" si="5"/>
        <v>0</v>
      </c>
      <c r="K41" s="544">
        <f t="shared" si="6"/>
        <v>0</v>
      </c>
      <c r="L41" s="547"/>
    </row>
    <row r="42" spans="1:12" ht="13.5">
      <c r="A42" s="53"/>
      <c r="B42" s="53"/>
      <c r="C42" s="53"/>
      <c r="D42" s="53"/>
      <c r="E42" s="298" t="s">
        <v>87</v>
      </c>
      <c r="F42" s="352">
        <f>'1-1'!F21</f>
        <v>0</v>
      </c>
      <c r="G42" s="350">
        <f t="shared" si="3"/>
        <v>0</v>
      </c>
      <c r="H42" s="544">
        <f t="shared" si="4"/>
        <v>0</v>
      </c>
      <c r="I42" s="544"/>
      <c r="J42" s="352">
        <f t="shared" si="5"/>
        <v>0</v>
      </c>
      <c r="K42" s="544">
        <f t="shared" si="6"/>
        <v>0</v>
      </c>
      <c r="L42" s="547"/>
    </row>
    <row r="43" spans="1:12" ht="13.5">
      <c r="A43" s="53"/>
      <c r="B43" s="53"/>
      <c r="C43" s="53"/>
      <c r="D43" s="53"/>
      <c r="E43" s="298" t="s">
        <v>88</v>
      </c>
      <c r="F43" s="352">
        <f>'1-1'!G21</f>
        <v>0</v>
      </c>
      <c r="G43" s="350">
        <f t="shared" si="3"/>
        <v>0</v>
      </c>
      <c r="H43" s="544">
        <f t="shared" si="4"/>
        <v>0</v>
      </c>
      <c r="I43" s="544"/>
      <c r="J43" s="352">
        <f t="shared" si="5"/>
        <v>0</v>
      </c>
      <c r="K43" s="544">
        <f t="shared" si="6"/>
        <v>0</v>
      </c>
      <c r="L43" s="547"/>
    </row>
    <row r="44" spans="1:12" ht="13.5">
      <c r="A44" s="53"/>
      <c r="B44" s="53"/>
      <c r="C44" s="53"/>
      <c r="D44" s="53"/>
      <c r="E44" s="298" t="s">
        <v>89</v>
      </c>
      <c r="F44" s="352">
        <f>'1-1'!H21</f>
        <v>0</v>
      </c>
      <c r="G44" s="350">
        <f t="shared" si="3"/>
        <v>0</v>
      </c>
      <c r="H44" s="544">
        <f t="shared" si="4"/>
        <v>0</v>
      </c>
      <c r="I44" s="544"/>
      <c r="J44" s="352">
        <f t="shared" si="5"/>
        <v>0</v>
      </c>
      <c r="K44" s="544">
        <f t="shared" si="6"/>
        <v>0</v>
      </c>
      <c r="L44" s="547"/>
    </row>
    <row r="45" spans="1:12" ht="13.5">
      <c r="A45" s="53"/>
      <c r="B45" s="53"/>
      <c r="C45" s="53"/>
      <c r="D45" s="53"/>
      <c r="E45" s="298" t="s">
        <v>90</v>
      </c>
      <c r="F45" s="352">
        <f>'1-1'!I21</f>
        <v>0</v>
      </c>
      <c r="G45" s="350">
        <f t="shared" si="3"/>
        <v>0</v>
      </c>
      <c r="H45" s="544">
        <f t="shared" si="4"/>
        <v>0</v>
      </c>
      <c r="I45" s="544"/>
      <c r="J45" s="352">
        <f t="shared" si="5"/>
        <v>0</v>
      </c>
      <c r="K45" s="544">
        <f t="shared" si="6"/>
        <v>0</v>
      </c>
      <c r="L45" s="547"/>
    </row>
    <row r="46" spans="1:12" ht="14.25" thickBot="1">
      <c r="A46" s="53"/>
      <c r="B46" s="53"/>
      <c r="C46" s="53"/>
      <c r="D46" s="53"/>
      <c r="E46" s="298" t="s">
        <v>138</v>
      </c>
      <c r="F46" s="400">
        <f>'1-1'!J21</f>
        <v>164620</v>
      </c>
      <c r="G46" s="350">
        <f t="shared" si="3"/>
        <v>0</v>
      </c>
      <c r="H46" s="594">
        <f t="shared" si="4"/>
        <v>0</v>
      </c>
      <c r="I46" s="594"/>
      <c r="J46" s="353">
        <f t="shared" si="5"/>
        <v>0</v>
      </c>
      <c r="K46" s="594">
        <f t="shared" si="6"/>
        <v>164620</v>
      </c>
      <c r="L46" s="595"/>
    </row>
    <row r="47" spans="1:12" ht="15" thickBot="1" thickTop="1">
      <c r="A47" s="53"/>
      <c r="B47" s="53"/>
      <c r="C47" s="53"/>
      <c r="D47" s="53"/>
      <c r="E47" s="401" t="s">
        <v>15</v>
      </c>
      <c r="F47" s="355">
        <f>SUM(F38:F46)</f>
        <v>814020</v>
      </c>
      <c r="G47" s="356">
        <f>SUM(G38:G46)</f>
        <v>0</v>
      </c>
      <c r="H47" s="628">
        <f>SUM(H38:I46)</f>
        <v>0</v>
      </c>
      <c r="I47" s="629"/>
      <c r="J47" s="357">
        <f>SUM(J38:J46)</f>
        <v>0</v>
      </c>
      <c r="K47" s="628">
        <f>SUM(K38:L46)</f>
        <v>814020</v>
      </c>
      <c r="L47" s="63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145</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515" t="s">
        <v>270</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592"/>
      <c r="H14" s="593"/>
      <c r="I14" s="593"/>
      <c r="J14" s="593"/>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297800</v>
      </c>
      <c r="C16" s="436">
        <f>'2-1'!C23</f>
        <v>105000</v>
      </c>
      <c r="D16" s="436">
        <f>'2-1'!D23</f>
        <v>390380</v>
      </c>
      <c r="E16" s="436">
        <f>'2-1'!E23</f>
        <v>0</v>
      </c>
      <c r="F16" s="436">
        <f>'2-1'!F23</f>
        <v>0</v>
      </c>
      <c r="G16" s="436">
        <f>'2-1'!G23</f>
        <v>0</v>
      </c>
      <c r="H16" s="436">
        <f>'2-1'!H23</f>
        <v>0</v>
      </c>
      <c r="I16" s="436">
        <f>'2-1'!I23</f>
        <v>0</v>
      </c>
      <c r="J16" s="436">
        <f>'2-1'!J23</f>
        <v>21000</v>
      </c>
      <c r="K16" s="438">
        <f aca="true" t="shared" si="0" ref="K16:K23">SUM(B16:J16)</f>
        <v>814180</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297800</v>
      </c>
      <c r="C18" s="439">
        <f aca="true" t="shared" si="1" ref="C18:J18">C16-C17</f>
        <v>105000</v>
      </c>
      <c r="D18" s="439">
        <f t="shared" si="1"/>
        <v>390380</v>
      </c>
      <c r="E18" s="439">
        <f t="shared" si="1"/>
        <v>0</v>
      </c>
      <c r="F18" s="439">
        <f t="shared" si="1"/>
        <v>0</v>
      </c>
      <c r="G18" s="439">
        <f t="shared" si="1"/>
        <v>0</v>
      </c>
      <c r="H18" s="439">
        <f t="shared" si="1"/>
        <v>0</v>
      </c>
      <c r="I18" s="439">
        <f t="shared" si="1"/>
        <v>0</v>
      </c>
      <c r="J18" s="439">
        <f t="shared" si="1"/>
        <v>21000</v>
      </c>
      <c r="K18" s="442">
        <f t="shared" si="0"/>
        <v>814180</v>
      </c>
    </row>
    <row r="19" spans="1:11" ht="39" customHeight="1">
      <c r="A19" s="21" t="s">
        <v>16</v>
      </c>
      <c r="B19" s="436">
        <f>'随時③-2'!G38</f>
        <v>0</v>
      </c>
      <c r="C19" s="322">
        <f>'随時③-2'!G39</f>
        <v>0</v>
      </c>
      <c r="D19" s="322">
        <f>'随時③-2'!G40</f>
        <v>0</v>
      </c>
      <c r="E19" s="322">
        <f>'随時③-2'!G41</f>
        <v>0</v>
      </c>
      <c r="F19" s="322">
        <f>'随時③-2'!G42</f>
        <v>0</v>
      </c>
      <c r="G19" s="322">
        <f>'随時③-2'!G43</f>
        <v>0</v>
      </c>
      <c r="H19" s="322">
        <f>'随時③-2'!G44</f>
        <v>0</v>
      </c>
      <c r="I19" s="322">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4">
        <f>B16+B19</f>
        <v>297800</v>
      </c>
      <c r="C22" s="224">
        <f aca="true" t="shared" si="3" ref="C22:J22">C16+C19</f>
        <v>105000</v>
      </c>
      <c r="D22" s="224">
        <f t="shared" si="3"/>
        <v>390380</v>
      </c>
      <c r="E22" s="224">
        <f t="shared" si="3"/>
        <v>0</v>
      </c>
      <c r="F22" s="224">
        <f t="shared" si="3"/>
        <v>0</v>
      </c>
      <c r="G22" s="224">
        <f t="shared" si="3"/>
        <v>0</v>
      </c>
      <c r="H22" s="224">
        <f t="shared" si="3"/>
        <v>0</v>
      </c>
      <c r="I22" s="224">
        <f t="shared" si="3"/>
        <v>0</v>
      </c>
      <c r="J22" s="224">
        <f t="shared" si="3"/>
        <v>21000</v>
      </c>
      <c r="K22" s="435">
        <f t="shared" si="0"/>
        <v>814180</v>
      </c>
    </row>
    <row r="23" spans="1:11" ht="39" customHeight="1" thickBot="1">
      <c r="A23" s="22" t="s">
        <v>170</v>
      </c>
      <c r="B23" s="220">
        <f>'2-1'!B19+'随時③-1'!B22</f>
        <v>438400</v>
      </c>
      <c r="C23" s="220">
        <f>'2-1'!C19+'随時③-1'!C22</f>
        <v>148460</v>
      </c>
      <c r="D23" s="220">
        <f>'2-1'!D19+'随時③-1'!D22</f>
        <v>443020</v>
      </c>
      <c r="E23" s="220">
        <f>'2-1'!E19+'随時③-1'!E22</f>
        <v>0</v>
      </c>
      <c r="F23" s="220">
        <f>'2-1'!F19+'随時③-1'!F22</f>
        <v>0</v>
      </c>
      <c r="G23" s="220">
        <f>'2-1'!G19+'随時③-1'!G22</f>
        <v>0</v>
      </c>
      <c r="H23" s="220">
        <f>'2-1'!H19+'随時③-1'!H22</f>
        <v>0</v>
      </c>
      <c r="I23" s="220">
        <f>'2-1'!I19+'随時③-1'!I22</f>
        <v>0</v>
      </c>
      <c r="J23" s="220">
        <f>'2-1'!J19+'随時③-1'!J22</f>
        <v>158120</v>
      </c>
      <c r="K23" s="223">
        <f t="shared" si="0"/>
        <v>1188000</v>
      </c>
    </row>
    <row r="24" spans="1:11" ht="39" customHeight="1" thickBot="1">
      <c r="A24" s="32" t="s">
        <v>104</v>
      </c>
      <c r="B24" s="634" t="s">
        <v>122</v>
      </c>
      <c r="C24" s="563"/>
      <c r="D24" s="563"/>
      <c r="E24" s="563"/>
      <c r="F24" s="563"/>
      <c r="G24" s="563"/>
      <c r="H24" s="563"/>
      <c r="I24" s="563"/>
      <c r="J24" s="563"/>
      <c r="K24" s="56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8" t="s">
        <v>111</v>
      </c>
      <c r="L3" s="296" t="s">
        <v>107</v>
      </c>
    </row>
    <row r="4" spans="1:13" ht="14.25">
      <c r="A4" s="91"/>
      <c r="B4" s="67"/>
      <c r="C4" s="67"/>
      <c r="D4" s="411"/>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8" t="s">
        <v>111</v>
      </c>
      <c r="L20" s="410" t="s">
        <v>107</v>
      </c>
    </row>
    <row r="21" spans="1:13" s="468" customFormat="1" ht="13.5" customHeight="1">
      <c r="A21" s="361"/>
      <c r="B21" s="242"/>
      <c r="C21" s="263"/>
      <c r="D21" s="467">
        <v>401</v>
      </c>
      <c r="E21" s="276"/>
      <c r="F21" s="276"/>
      <c r="G21" s="341"/>
      <c r="H21" s="342"/>
      <c r="I21" s="342"/>
      <c r="J21" s="383">
        <f>G21*H21*I21</f>
        <v>0</v>
      </c>
      <c r="K21" s="279"/>
      <c r="L21" s="280"/>
      <c r="M21" s="468">
        <f aca="true" t="shared" si="1" ref="M21:M35">IF(K21="◎",J21,"")</f>
      </c>
    </row>
    <row r="22" spans="1:13" s="468" customFormat="1" ht="13.5" customHeight="1">
      <c r="A22" s="252"/>
      <c r="B22" s="253"/>
      <c r="C22" s="254"/>
      <c r="D22" s="469">
        <v>402</v>
      </c>
      <c r="E22" s="276"/>
      <c r="F22" s="257"/>
      <c r="G22" s="320"/>
      <c r="H22" s="321"/>
      <c r="I22" s="321"/>
      <c r="J22" s="383">
        <f aca="true" t="shared" si="2" ref="J22:J35">G22*H22*I22</f>
        <v>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247</v>
      </c>
      <c r="F36" s="630"/>
      <c r="G36" s="630"/>
    </row>
    <row r="37" spans="1:12" ht="24" customHeight="1" thickBot="1">
      <c r="A37" s="53"/>
      <c r="B37" s="53"/>
      <c r="C37" s="53"/>
      <c r="E37" s="240" t="s">
        <v>96</v>
      </c>
      <c r="F37" s="230" t="s">
        <v>172</v>
      </c>
      <c r="G37" s="230" t="s">
        <v>16</v>
      </c>
      <c r="H37" s="631" t="s">
        <v>245</v>
      </c>
      <c r="I37" s="632"/>
      <c r="J37" s="157" t="s">
        <v>108</v>
      </c>
      <c r="K37" s="598" t="s">
        <v>194</v>
      </c>
      <c r="L37" s="599"/>
    </row>
    <row r="38" spans="1:12" ht="14.25" thickTop="1">
      <c r="A38" s="53"/>
      <c r="B38" s="53"/>
      <c r="C38" s="53"/>
      <c r="E38" s="298" t="s">
        <v>85</v>
      </c>
      <c r="F38" s="348">
        <f>'2-1'!B23</f>
        <v>297800</v>
      </c>
      <c r="G38" s="348">
        <f aca="true" t="shared" si="3" ref="G38:G46">-SUMIF($E$4:$E$18,$E38,$J$4:$J$18)+SUMIF($E$21:$E$35,$E38,$J$21:$J$35)</f>
        <v>0</v>
      </c>
      <c r="H38" s="537">
        <f aca="true" t="shared" si="4" ref="H38:H46">-SUMIF($E$4:$E$18,$E38,$M$4:$M$18)+SUMIF($E$21:$E$35,$E38,$M$21:$M$35)</f>
        <v>0</v>
      </c>
      <c r="I38" s="616"/>
      <c r="J38" s="350">
        <f aca="true" t="shared" si="5" ref="J38:J46">G38-H38</f>
        <v>0</v>
      </c>
      <c r="K38" s="554">
        <f aca="true" t="shared" si="6" ref="K38:K46">F38+G38</f>
        <v>297800</v>
      </c>
      <c r="L38" s="600"/>
    </row>
    <row r="39" spans="1:12" ht="13.5">
      <c r="A39" s="53"/>
      <c r="B39" s="53"/>
      <c r="C39" s="53"/>
      <c r="E39" s="298" t="s">
        <v>86</v>
      </c>
      <c r="F39" s="352">
        <f>'2-1'!C23</f>
        <v>105000</v>
      </c>
      <c r="G39" s="348">
        <f t="shared" si="3"/>
        <v>0</v>
      </c>
      <c r="H39" s="545">
        <f t="shared" si="4"/>
        <v>0</v>
      </c>
      <c r="I39" s="605"/>
      <c r="J39" s="350">
        <f t="shared" si="5"/>
        <v>0</v>
      </c>
      <c r="K39" s="554">
        <f t="shared" si="6"/>
        <v>105000</v>
      </c>
      <c r="L39" s="600"/>
    </row>
    <row r="40" spans="1:12" ht="13.5">
      <c r="A40" s="53"/>
      <c r="B40" s="53"/>
      <c r="C40" s="53"/>
      <c r="E40" s="298" t="s">
        <v>125</v>
      </c>
      <c r="F40" s="352">
        <f>'2-1'!D23</f>
        <v>390380</v>
      </c>
      <c r="G40" s="348">
        <f t="shared" si="3"/>
        <v>0</v>
      </c>
      <c r="H40" s="545">
        <f t="shared" si="4"/>
        <v>0</v>
      </c>
      <c r="I40" s="605"/>
      <c r="J40" s="350">
        <f t="shared" si="5"/>
        <v>0</v>
      </c>
      <c r="K40" s="554">
        <f t="shared" si="6"/>
        <v>390380</v>
      </c>
      <c r="L40" s="600"/>
    </row>
    <row r="41" spans="1:12" ht="13.5">
      <c r="A41" s="53"/>
      <c r="B41" s="53"/>
      <c r="C41" s="53"/>
      <c r="E41" s="298" t="s">
        <v>126</v>
      </c>
      <c r="F41" s="352">
        <f>'2-1'!E23</f>
        <v>0</v>
      </c>
      <c r="G41" s="348">
        <f t="shared" si="3"/>
        <v>0</v>
      </c>
      <c r="H41" s="545">
        <f t="shared" si="4"/>
        <v>0</v>
      </c>
      <c r="I41" s="605"/>
      <c r="J41" s="350">
        <f t="shared" si="5"/>
        <v>0</v>
      </c>
      <c r="K41" s="554">
        <f t="shared" si="6"/>
        <v>0</v>
      </c>
      <c r="L41" s="600"/>
    </row>
    <row r="42" spans="1:12" ht="13.5">
      <c r="A42" s="53"/>
      <c r="B42" s="53"/>
      <c r="C42" s="53"/>
      <c r="E42" s="298" t="s">
        <v>87</v>
      </c>
      <c r="F42" s="352">
        <f>'2-1'!F23</f>
        <v>0</v>
      </c>
      <c r="G42" s="348">
        <f t="shared" si="3"/>
        <v>0</v>
      </c>
      <c r="H42" s="545">
        <f t="shared" si="4"/>
        <v>0</v>
      </c>
      <c r="I42" s="605"/>
      <c r="J42" s="350">
        <f t="shared" si="5"/>
        <v>0</v>
      </c>
      <c r="K42" s="554">
        <f t="shared" si="6"/>
        <v>0</v>
      </c>
      <c r="L42" s="600"/>
    </row>
    <row r="43" spans="1:12" ht="13.5">
      <c r="A43" s="53"/>
      <c r="B43" s="53"/>
      <c r="C43" s="53"/>
      <c r="E43" s="298" t="s">
        <v>88</v>
      </c>
      <c r="F43" s="352">
        <f>'2-1'!G23</f>
        <v>0</v>
      </c>
      <c r="G43" s="348">
        <f t="shared" si="3"/>
        <v>0</v>
      </c>
      <c r="H43" s="545">
        <f t="shared" si="4"/>
        <v>0</v>
      </c>
      <c r="I43" s="605"/>
      <c r="J43" s="350">
        <f t="shared" si="5"/>
        <v>0</v>
      </c>
      <c r="K43" s="554">
        <f t="shared" si="6"/>
        <v>0</v>
      </c>
      <c r="L43" s="600"/>
    </row>
    <row r="44" spans="1:12" ht="13.5">
      <c r="A44" s="53"/>
      <c r="B44" s="53"/>
      <c r="C44" s="53"/>
      <c r="E44" s="298" t="s">
        <v>89</v>
      </c>
      <c r="F44" s="352">
        <f>'2-1'!H23</f>
        <v>0</v>
      </c>
      <c r="G44" s="348">
        <f t="shared" si="3"/>
        <v>0</v>
      </c>
      <c r="H44" s="545">
        <f t="shared" si="4"/>
        <v>0</v>
      </c>
      <c r="I44" s="605"/>
      <c r="J44" s="350">
        <f t="shared" si="5"/>
        <v>0</v>
      </c>
      <c r="K44" s="554">
        <f t="shared" si="6"/>
        <v>0</v>
      </c>
      <c r="L44" s="600"/>
    </row>
    <row r="45" spans="1:12" ht="13.5">
      <c r="A45" s="53"/>
      <c r="B45" s="53"/>
      <c r="C45" s="53"/>
      <c r="E45" s="298" t="s">
        <v>90</v>
      </c>
      <c r="F45" s="352">
        <f>'2-1'!I23</f>
        <v>0</v>
      </c>
      <c r="G45" s="348">
        <f t="shared" si="3"/>
        <v>0</v>
      </c>
      <c r="H45" s="545">
        <f t="shared" si="4"/>
        <v>0</v>
      </c>
      <c r="I45" s="605"/>
      <c r="J45" s="350">
        <f t="shared" si="5"/>
        <v>0</v>
      </c>
      <c r="K45" s="554">
        <f t="shared" si="6"/>
        <v>0</v>
      </c>
      <c r="L45" s="600"/>
    </row>
    <row r="46" spans="1:12" ht="14.25" thickBot="1">
      <c r="A46" s="53"/>
      <c r="B46" s="53"/>
      <c r="C46" s="53"/>
      <c r="E46" s="298" t="s">
        <v>138</v>
      </c>
      <c r="F46" s="400">
        <f>'2-1'!J23</f>
        <v>21000</v>
      </c>
      <c r="G46" s="348">
        <f t="shared" si="3"/>
        <v>0</v>
      </c>
      <c r="H46" s="636">
        <f t="shared" si="4"/>
        <v>0</v>
      </c>
      <c r="I46" s="637"/>
      <c r="J46" s="350">
        <f t="shared" si="5"/>
        <v>0</v>
      </c>
      <c r="K46" s="594">
        <f t="shared" si="6"/>
        <v>21000</v>
      </c>
      <c r="L46" s="595"/>
    </row>
    <row r="47" spans="1:12" ht="15" thickBot="1" thickTop="1">
      <c r="A47" s="53"/>
      <c r="B47" s="53"/>
      <c r="C47" s="53"/>
      <c r="E47" s="401" t="s">
        <v>15</v>
      </c>
      <c r="F47" s="355">
        <f>SUM(F38:F46)</f>
        <v>814180</v>
      </c>
      <c r="G47" s="355">
        <f>SUM(G38:G46)</f>
        <v>0</v>
      </c>
      <c r="H47" s="635">
        <f>SUM(H38:I46)</f>
        <v>0</v>
      </c>
      <c r="I47" s="629"/>
      <c r="J47" s="356">
        <f>SUM(J38:J46)</f>
        <v>0</v>
      </c>
      <c r="K47" s="596">
        <f>SUM(K38:L46)</f>
        <v>814180</v>
      </c>
      <c r="L47" s="59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4"/>
  <sheetViews>
    <sheetView showZeros="0" tabSelected="1"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41" sqref="A4:IV4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4" t="s">
        <v>143</v>
      </c>
      <c r="G2" s="532"/>
      <c r="H2" s="532"/>
      <c r="I2" s="532"/>
      <c r="J2" s="535"/>
      <c r="K2" s="531" t="s">
        <v>115</v>
      </c>
      <c r="L2" s="532"/>
      <c r="M2" s="532"/>
      <c r="N2" s="532"/>
      <c r="O2" s="533"/>
      <c r="P2" s="13"/>
    </row>
    <row r="3" spans="1:21" ht="24" customHeight="1">
      <c r="A3" s="424" t="s">
        <v>141</v>
      </c>
      <c r="B3" s="295"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164620</v>
      </c>
      <c r="H4" s="305">
        <f>'2-2'!H4</f>
        <v>1</v>
      </c>
      <c r="I4" s="305">
        <f>'2-2'!I4</f>
        <v>1</v>
      </c>
      <c r="J4" s="366">
        <f>'2-2'!J4</f>
        <v>164620</v>
      </c>
      <c r="K4" s="367" t="str">
        <f>'2-2'!K4</f>
        <v>各種団体負担金（会費）</v>
      </c>
      <c r="L4" s="304">
        <f>'2-2'!L4</f>
        <v>137120</v>
      </c>
      <c r="M4" s="305">
        <f>'2-2'!M4</f>
        <v>1</v>
      </c>
      <c r="N4" s="305">
        <f>'2-2'!N4</f>
        <v>1</v>
      </c>
      <c r="O4" s="368">
        <f>L4*M4*N4</f>
        <v>137120</v>
      </c>
      <c r="P4" s="369">
        <f>'2-2'!P4</f>
        <v>0</v>
      </c>
      <c r="Q4" s="370" t="str">
        <f>'2-2'!Q4</f>
        <v>詳細は様式２－３のとおり</v>
      </c>
      <c r="R4" s="25">
        <f>IF(AND(ISNA(MATCH($D4,'随時②-2'!$D$4:$D$18,0)),ISNA(MATCH($D4,'随時③-2'!$D$4:$D$18,0))),0,1)</f>
        <v>0</v>
      </c>
      <c r="S4" s="63">
        <f aca="true" t="shared" si="0" ref="S4:S22">IF(P4="◎",J4,"")</f>
      </c>
      <c r="T4" s="63">
        <f aca="true" t="shared" si="1" ref="T4:T22">IF(P4="◎",O4,"")</f>
      </c>
      <c r="U4" s="5">
        <f>IF($E4=0,"",VLOOKUP($E4,$V$5:$X$13,2))</f>
        <v>9</v>
      </c>
    </row>
    <row r="5" spans="1:23" ht="30" customHeight="1">
      <c r="A5" s="371">
        <f>'1-2'!A5</f>
        <v>1</v>
      </c>
      <c r="B5" s="372" t="str">
        <f>'1-2'!B5</f>
        <v>２－（１）－（１）</v>
      </c>
      <c r="C5" s="373" t="str">
        <f>'1-2'!C5</f>
        <v>キャリア教育の推進</v>
      </c>
      <c r="D5" s="255">
        <v>2</v>
      </c>
      <c r="E5" s="315" t="str">
        <f>'2-2'!E5</f>
        <v>報償費</v>
      </c>
      <c r="F5" s="316" t="str">
        <f>'2-2'!F5</f>
        <v>幼稚部保護者学習会講師謝礼</v>
      </c>
      <c r="G5" s="225">
        <f>'2-2'!G5</f>
        <v>5000</v>
      </c>
      <c r="H5" s="317">
        <f>'2-2'!H5</f>
        <v>1</v>
      </c>
      <c r="I5" s="317">
        <f>'2-2'!I5</f>
        <v>1</v>
      </c>
      <c r="J5" s="374">
        <f>'2-2'!J5</f>
        <v>5000</v>
      </c>
      <c r="K5" s="375" t="str">
        <f>'2-2'!K5</f>
        <v>幼稚部保護者学習会講師謝礼</v>
      </c>
      <c r="L5" s="225">
        <f>'2-2'!L5</f>
        <v>5000</v>
      </c>
      <c r="M5" s="317">
        <f>'2-2'!M5</f>
        <v>1</v>
      </c>
      <c r="N5" s="317">
        <f>'2-2'!N5</f>
        <v>1</v>
      </c>
      <c r="O5" s="343">
        <f>L5*M5*N5</f>
        <v>5000</v>
      </c>
      <c r="P5" s="376">
        <f>'2-2'!P5</f>
        <v>0</v>
      </c>
      <c r="Q5" s="377">
        <f>'2-2'!Q5</f>
        <v>0</v>
      </c>
      <c r="R5" s="25">
        <f>IF(AND(ISNA(MATCH($D5,'随時②-2'!$D$4:$D$18,0)),ISNA(MATCH($D5,'随時③-2'!$D$4:$D$18,0))),0,1)</f>
        <v>0</v>
      </c>
      <c r="S5" s="63">
        <f t="shared" si="0"/>
      </c>
      <c r="T5" s="63">
        <f t="shared" si="1"/>
      </c>
      <c r="U5" s="5">
        <f aca="true" t="shared" si="2" ref="U5:U22">IF($E5=0,"",VLOOKUP($E5,$V$5:$X$13,2))</f>
        <v>1</v>
      </c>
      <c r="V5" s="5" t="s">
        <v>152</v>
      </c>
      <c r="W5" s="5">
        <v>6</v>
      </c>
    </row>
    <row r="6" spans="1:23" ht="30" customHeight="1">
      <c r="A6" s="371">
        <f>'1-2'!A6</f>
        <v>0</v>
      </c>
      <c r="B6" s="372">
        <f>'1-2'!B6</f>
        <v>0</v>
      </c>
      <c r="C6" s="373" t="str">
        <f>'1-2'!C6</f>
        <v>キャリア教育の推進</v>
      </c>
      <c r="D6" s="255">
        <v>3</v>
      </c>
      <c r="E6" s="315" t="str">
        <f>'2-2'!E6</f>
        <v>報償費</v>
      </c>
      <c r="F6" s="316" t="str">
        <f>'2-2'!F6</f>
        <v>小学部外国語授業講師謝礼</v>
      </c>
      <c r="G6" s="225">
        <f>'2-2'!G6</f>
        <v>15000</v>
      </c>
      <c r="H6" s="317">
        <f>'2-2'!H6</f>
        <v>1</v>
      </c>
      <c r="I6" s="317">
        <f>'2-2'!I6</f>
        <v>2</v>
      </c>
      <c r="J6" s="374">
        <f>'2-2'!J6</f>
        <v>30000</v>
      </c>
      <c r="K6" s="375" t="str">
        <f>'2-2'!K6</f>
        <v>小学部外国語授業講師謝礼</v>
      </c>
      <c r="L6" s="225">
        <f>'2-2'!L6</f>
        <v>15000</v>
      </c>
      <c r="M6" s="317">
        <f>'2-2'!M6</f>
        <v>1</v>
      </c>
      <c r="N6" s="317">
        <f>'2-2'!N6</f>
        <v>0</v>
      </c>
      <c r="O6" s="343">
        <f aca="true" t="shared" si="3" ref="O6:O22">L6*M6*N6</f>
        <v>0</v>
      </c>
      <c r="P6" s="376">
        <f>'2-2'!P6</f>
        <v>0</v>
      </c>
      <c r="Q6" s="377">
        <f>'2-2'!Q6</f>
        <v>0</v>
      </c>
      <c r="R6" s="25">
        <f>IF(AND(ISNA(MATCH($D6,'随時②-2'!$D$4:$D$18,0)),ISNA(MATCH($D6,'随時③-2'!$D$4:$D$18,0))),0,1)</f>
        <v>0</v>
      </c>
      <c r="S6" s="63">
        <f t="shared" si="0"/>
      </c>
      <c r="T6" s="63">
        <f t="shared" si="1"/>
      </c>
      <c r="U6" s="5">
        <f t="shared" si="2"/>
        <v>1</v>
      </c>
      <c r="V6" s="5" t="s">
        <v>153</v>
      </c>
      <c r="W6" s="5">
        <v>4</v>
      </c>
    </row>
    <row r="7" spans="1:23" ht="30" customHeight="1">
      <c r="A7" s="371">
        <f>'1-2'!A7</f>
        <v>0</v>
      </c>
      <c r="B7" s="372">
        <f>'1-2'!B7</f>
        <v>0</v>
      </c>
      <c r="C7" s="373" t="str">
        <f>'1-2'!C7</f>
        <v>キャリア教育の推進</v>
      </c>
      <c r="D7" s="255">
        <v>4</v>
      </c>
      <c r="E7" s="315" t="str">
        <f>'2-2'!E7</f>
        <v>報償費</v>
      </c>
      <c r="F7" s="316" t="str">
        <f>'2-2'!F7</f>
        <v>キャリア教育推進講演会講師謝礼</v>
      </c>
      <c r="G7" s="225">
        <f>'2-2'!G7</f>
        <v>30000</v>
      </c>
      <c r="H7" s="317">
        <f>'2-2'!H7</f>
        <v>1</v>
      </c>
      <c r="I7" s="317">
        <f>'2-2'!I7</f>
        <v>1</v>
      </c>
      <c r="J7" s="374">
        <f>'2-2'!J7</f>
        <v>30000</v>
      </c>
      <c r="K7" s="375" t="str">
        <f>'2-2'!K7</f>
        <v>キャリア教育推進講演会講師謝礼</v>
      </c>
      <c r="L7" s="225">
        <f>'2-2'!L7</f>
        <v>30000</v>
      </c>
      <c r="M7" s="317">
        <f>'2-2'!M7</f>
        <v>1</v>
      </c>
      <c r="N7" s="317">
        <f>'2-2'!N7</f>
        <v>0</v>
      </c>
      <c r="O7" s="343">
        <f t="shared" si="3"/>
        <v>0</v>
      </c>
      <c r="P7" s="376">
        <f>'2-2'!P7</f>
        <v>0</v>
      </c>
      <c r="Q7" s="377">
        <f>'2-2'!Q7</f>
        <v>0</v>
      </c>
      <c r="R7" s="25">
        <f>IF(AND(ISNA(MATCH($D7,'随時②-2'!$D$4:$D$18,0)),ISNA(MATCH($D7,'随時③-2'!$D$4:$D$18,0))),0,1)</f>
        <v>0</v>
      </c>
      <c r="S7" s="63">
        <f t="shared" si="0"/>
      </c>
      <c r="T7" s="63">
        <f t="shared" si="1"/>
      </c>
      <c r="U7" s="5">
        <f t="shared" si="2"/>
        <v>1</v>
      </c>
      <c r="V7" s="5" t="s">
        <v>154</v>
      </c>
      <c r="W7" s="5">
        <v>7</v>
      </c>
    </row>
    <row r="8" spans="1:23" ht="30" customHeight="1">
      <c r="A8" s="371">
        <f>'1-2'!A8</f>
        <v>0</v>
      </c>
      <c r="B8" s="372">
        <f>'1-2'!B8</f>
        <v>0</v>
      </c>
      <c r="C8" s="373" t="str">
        <f>'1-2'!C8</f>
        <v>キャリア教育の推進</v>
      </c>
      <c r="D8" s="264">
        <v>5</v>
      </c>
      <c r="E8" s="315" t="str">
        <f>'2-2'!E8</f>
        <v>旅費</v>
      </c>
      <c r="F8" s="316" t="str">
        <f>'2-2'!F8</f>
        <v>キャリア教育推進研修派遣旅費</v>
      </c>
      <c r="G8" s="225">
        <f>'2-2'!G8</f>
        <v>30000</v>
      </c>
      <c r="H8" s="317">
        <f>'2-2'!H8</f>
        <v>1</v>
      </c>
      <c r="I8" s="317">
        <f>'2-2'!I8</f>
        <v>2</v>
      </c>
      <c r="J8" s="374">
        <f>'2-2'!J8</f>
        <v>60000</v>
      </c>
      <c r="K8" s="375" t="str">
        <f>'2-2'!K8</f>
        <v>キャリア教育推進研修派遣旅費</v>
      </c>
      <c r="L8" s="225">
        <f>'2-2'!L8</f>
        <v>30000</v>
      </c>
      <c r="M8" s="317">
        <f>'2-2'!M8</f>
        <v>1</v>
      </c>
      <c r="N8" s="317">
        <f>'2-2'!N8</f>
        <v>0</v>
      </c>
      <c r="O8" s="343">
        <f t="shared" si="3"/>
        <v>0</v>
      </c>
      <c r="P8" s="376">
        <f>'2-2'!P8</f>
        <v>0</v>
      </c>
      <c r="Q8" s="377">
        <f>'2-2'!Q8</f>
        <v>0</v>
      </c>
      <c r="R8" s="25">
        <f>IF(AND(ISNA(MATCH($D8,'随時②-2'!$D$4:$D$18,0)),ISNA(MATCH($D8,'随時③-2'!$D$4:$D$18,0))),0,1)</f>
        <v>0</v>
      </c>
      <c r="S8" s="63">
        <f t="shared" si="0"/>
      </c>
      <c r="T8" s="63">
        <f t="shared" si="1"/>
      </c>
      <c r="U8" s="5">
        <f t="shared" si="2"/>
        <v>2</v>
      </c>
      <c r="V8" s="5" t="s">
        <v>155</v>
      </c>
      <c r="W8" s="5">
        <v>3</v>
      </c>
    </row>
    <row r="9" spans="1:23" ht="30" customHeight="1">
      <c r="A9" s="371">
        <f>'1-2'!A9</f>
        <v>2</v>
      </c>
      <c r="B9" s="372" t="str">
        <f>'1-2'!B9</f>
        <v>3－（１）－（１）</v>
      </c>
      <c r="C9" s="373" t="str">
        <f>'1-2'!C9</f>
        <v>支援教育の専門性向上</v>
      </c>
      <c r="D9" s="255">
        <v>6</v>
      </c>
      <c r="E9" s="315" t="str">
        <f>'2-2'!E9</f>
        <v>報償費</v>
      </c>
      <c r="F9" s="316" t="str">
        <f>'2-2'!F9</f>
        <v>臨床心理士指導謝礼</v>
      </c>
      <c r="G9" s="225">
        <f>'2-2'!G9</f>
        <v>13500</v>
      </c>
      <c r="H9" s="317">
        <f>'2-2'!H9</f>
        <v>1</v>
      </c>
      <c r="I9" s="317">
        <f>'2-2'!I9</f>
        <v>8</v>
      </c>
      <c r="J9" s="374">
        <f>'2-2'!J9</f>
        <v>108000</v>
      </c>
      <c r="K9" s="375" t="str">
        <f>'2-2'!K9</f>
        <v>臨床心理士指導謝礼</v>
      </c>
      <c r="L9" s="225">
        <f>'2-2'!L9</f>
        <v>14000</v>
      </c>
      <c r="M9" s="317">
        <f>'2-2'!M9</f>
        <v>1</v>
      </c>
      <c r="N9" s="317">
        <f>'2-2'!N9</f>
        <v>1</v>
      </c>
      <c r="O9" s="343">
        <f t="shared" si="3"/>
        <v>14000</v>
      </c>
      <c r="P9" s="376">
        <f>'2-2'!P9</f>
        <v>0</v>
      </c>
      <c r="Q9" s="377">
        <f>'2-2'!Q9</f>
        <v>0</v>
      </c>
      <c r="R9" s="25">
        <f>IF(AND(ISNA(MATCH($D9,'随時②-2'!$D$4:$D$18,0)),ISNA(MATCH($D9,'随時③-2'!$D$4:$D$18,0))),0,1)</f>
        <v>0</v>
      </c>
      <c r="S9" s="63">
        <f t="shared" si="0"/>
      </c>
      <c r="T9" s="63">
        <f t="shared" si="1"/>
      </c>
      <c r="U9" s="5">
        <f t="shared" si="2"/>
        <v>1</v>
      </c>
      <c r="V9" s="5" t="s">
        <v>156</v>
      </c>
      <c r="W9" s="5">
        <v>8</v>
      </c>
    </row>
    <row r="10" spans="1:23" ht="30" customHeight="1">
      <c r="A10" s="371">
        <f>'1-2'!A10</f>
        <v>0</v>
      </c>
      <c r="B10" s="372">
        <f>'1-2'!B10</f>
        <v>0</v>
      </c>
      <c r="C10" s="373" t="str">
        <f>'1-2'!C10</f>
        <v>支援教育の専門性向上</v>
      </c>
      <c r="D10" s="255">
        <v>7</v>
      </c>
      <c r="E10" s="315" t="str">
        <f>'2-2'!E10</f>
        <v>報償費</v>
      </c>
      <c r="F10" s="316" t="str">
        <f>'2-2'!F10</f>
        <v>全校研究会講師謝礼</v>
      </c>
      <c r="G10" s="225">
        <f>'2-2'!G10</f>
        <v>30000</v>
      </c>
      <c r="H10" s="317">
        <f>'2-2'!H10</f>
        <v>1</v>
      </c>
      <c r="I10" s="317">
        <f>'2-2'!I10</f>
        <v>1</v>
      </c>
      <c r="J10" s="374">
        <f>'2-2'!J10</f>
        <v>30000</v>
      </c>
      <c r="K10" s="375" t="str">
        <f>'2-2'!K10</f>
        <v>全校研究会講師謝礼</v>
      </c>
      <c r="L10" s="225">
        <f>'2-2'!L10</f>
        <v>30000</v>
      </c>
      <c r="M10" s="317">
        <f>'2-2'!M10</f>
        <v>1</v>
      </c>
      <c r="N10" s="317">
        <f>'2-2'!N10</f>
        <v>1</v>
      </c>
      <c r="O10" s="343">
        <f t="shared" si="3"/>
        <v>30000</v>
      </c>
      <c r="P10" s="376">
        <f>'2-2'!P10</f>
        <v>0</v>
      </c>
      <c r="Q10" s="377">
        <f>'2-2'!Q10</f>
        <v>0</v>
      </c>
      <c r="R10" s="25">
        <f>IF(AND(ISNA(MATCH($D10,'随時②-2'!$D$4:$D$18,0)),ISNA(MATCH($D10,'随時③-2'!$D$4:$D$18,0))),0,1)</f>
        <v>0</v>
      </c>
      <c r="S10" s="63">
        <f t="shared" si="0"/>
      </c>
      <c r="T10" s="63">
        <f t="shared" si="1"/>
      </c>
      <c r="U10" s="5">
        <f t="shared" si="2"/>
        <v>1</v>
      </c>
      <c r="V10" s="5" t="s">
        <v>160</v>
      </c>
      <c r="W10" s="5">
        <v>9</v>
      </c>
    </row>
    <row r="11" spans="1:23" ht="30" customHeight="1">
      <c r="A11" s="371">
        <f>'1-2'!A11</f>
        <v>0</v>
      </c>
      <c r="B11" s="372">
        <f>'1-2'!B11</f>
        <v>0</v>
      </c>
      <c r="C11" s="373" t="str">
        <f>'1-2'!C11</f>
        <v>支援教育の専門性向上</v>
      </c>
      <c r="D11" s="264">
        <v>8</v>
      </c>
      <c r="E11" s="315" t="str">
        <f>'2-2'!E11</f>
        <v>報償費</v>
      </c>
      <c r="F11" s="316" t="str">
        <f>'2-2'!F11</f>
        <v>小学部専門性向上研修講師謝礼</v>
      </c>
      <c r="G11" s="225">
        <f>'2-2'!G11</f>
        <v>5000</v>
      </c>
      <c r="H11" s="317">
        <f>'2-2'!H11</f>
        <v>1</v>
      </c>
      <c r="I11" s="317">
        <f>'2-2'!I11</f>
        <v>8</v>
      </c>
      <c r="J11" s="374">
        <f>'2-2'!J11</f>
        <v>40000</v>
      </c>
      <c r="K11" s="375" t="str">
        <f>'2-2'!K11</f>
        <v>小学部専門性向上研修講師謝礼</v>
      </c>
      <c r="L11" s="225">
        <f>'2-2'!L11</f>
        <v>5000</v>
      </c>
      <c r="M11" s="317">
        <f>'2-2'!M11</f>
        <v>1</v>
      </c>
      <c r="N11" s="317">
        <f>'2-2'!N11</f>
        <v>2</v>
      </c>
      <c r="O11" s="343">
        <f t="shared" si="3"/>
        <v>10000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3" ht="30" customHeight="1">
      <c r="A12" s="371">
        <f>'1-2'!A12</f>
        <v>0</v>
      </c>
      <c r="B12" s="372">
        <f>'1-2'!B12</f>
        <v>0</v>
      </c>
      <c r="C12" s="373" t="str">
        <f>'1-2'!C12</f>
        <v>支援教育の専門性向上</v>
      </c>
      <c r="D12" s="264">
        <v>9</v>
      </c>
      <c r="E12" s="315" t="str">
        <f>'2-2'!E12</f>
        <v>旅費</v>
      </c>
      <c r="F12" s="316" t="str">
        <f>'2-2'!F12</f>
        <v>専門性向上研修派遣旅費</v>
      </c>
      <c r="G12" s="225">
        <f>'2-2'!G12</f>
        <v>45000</v>
      </c>
      <c r="H12" s="317">
        <f>'2-2'!H12</f>
        <v>2</v>
      </c>
      <c r="I12" s="317">
        <f>'2-2'!I12</f>
        <v>1</v>
      </c>
      <c r="J12" s="374">
        <f>'2-2'!J12</f>
        <v>90000</v>
      </c>
      <c r="K12" s="375" t="str">
        <f>'2-2'!K12</f>
        <v>専門性向上研修派遣旅費</v>
      </c>
      <c r="L12" s="225">
        <f>'2-2'!L12</f>
        <v>30620</v>
      </c>
      <c r="M12" s="317">
        <f>'2-2'!M12</f>
        <v>1</v>
      </c>
      <c r="N12" s="317">
        <f>'2-2'!N12</f>
        <v>1</v>
      </c>
      <c r="O12" s="343">
        <f t="shared" si="3"/>
        <v>30620</v>
      </c>
      <c r="P12" s="376">
        <f>'2-2'!P12</f>
        <v>0</v>
      </c>
      <c r="Q12" s="377">
        <f>'2-2'!Q12</f>
        <v>0</v>
      </c>
      <c r="R12" s="25">
        <f>IF(AND(ISNA(MATCH($D12,'随時②-2'!$D$4:$D$18,0)),ISNA(MATCH($D12,'随時③-2'!$D$4:$D$18,0))),0,1)</f>
        <v>0</v>
      </c>
      <c r="S12" s="63">
        <f t="shared" si="0"/>
      </c>
      <c r="T12" s="63">
        <f t="shared" si="1"/>
      </c>
      <c r="U12" s="5">
        <f t="shared" si="2"/>
        <v>2</v>
      </c>
      <c r="V12" s="5" t="s">
        <v>158</v>
      </c>
      <c r="W12" s="5">
        <v>5</v>
      </c>
    </row>
    <row r="13" spans="1:23" ht="30" customHeight="1">
      <c r="A13" s="371">
        <f>'1-2'!A13</f>
        <v>0</v>
      </c>
      <c r="B13" s="372">
        <f>'1-2'!B13</f>
        <v>0</v>
      </c>
      <c r="C13" s="373" t="str">
        <f>'1-2'!C13</f>
        <v>支援教育の専門性向上</v>
      </c>
      <c r="D13" s="274">
        <v>10</v>
      </c>
      <c r="E13" s="315" t="str">
        <f>'2-2'!E13</f>
        <v>消耗需用費</v>
      </c>
      <c r="F13" s="316" t="str">
        <f>'2-2'!F13</f>
        <v>全国特別支援学校長会研究大会資料代</v>
      </c>
      <c r="G13" s="225">
        <f>'2-2'!G13</f>
        <v>3000</v>
      </c>
      <c r="H13" s="317">
        <f>'2-2'!H13</f>
        <v>1</v>
      </c>
      <c r="I13" s="317">
        <f>'2-2'!I13</f>
        <v>1</v>
      </c>
      <c r="J13" s="374">
        <f>'2-2'!J13</f>
        <v>3000</v>
      </c>
      <c r="K13" s="375" t="str">
        <f>'2-2'!K13</f>
        <v>全国特別支援学校長会研究大会資料代</v>
      </c>
      <c r="L13" s="225">
        <f>'2-2'!L13</f>
        <v>3000</v>
      </c>
      <c r="M13" s="317">
        <f>'2-2'!M13</f>
        <v>1</v>
      </c>
      <c r="N13" s="317">
        <f>'2-2'!N13</f>
        <v>1</v>
      </c>
      <c r="O13" s="343">
        <f t="shared" si="3"/>
        <v>3000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0</v>
      </c>
      <c r="B14" s="372">
        <f>'1-2'!B14</f>
        <v>0</v>
      </c>
      <c r="C14" s="373" t="str">
        <f>'1-2'!C14</f>
        <v>支援教育の専門性向上</v>
      </c>
      <c r="D14" s="255">
        <v>11</v>
      </c>
      <c r="E14" s="315" t="str">
        <f>'2-2'!E14</f>
        <v>消耗需用費</v>
      </c>
      <c r="F14" s="316" t="str">
        <f>'2-2'!F14</f>
        <v>全日本聾教育研究会大会資料代</v>
      </c>
      <c r="G14" s="225">
        <f>'2-2'!G14</f>
        <v>3000</v>
      </c>
      <c r="H14" s="317">
        <f>'2-2'!H14</f>
        <v>1</v>
      </c>
      <c r="I14" s="317">
        <f>'2-2'!I14</f>
        <v>1</v>
      </c>
      <c r="J14" s="374">
        <f>'2-2'!J14</f>
        <v>3000</v>
      </c>
      <c r="K14" s="375" t="str">
        <f>'2-2'!K14</f>
        <v>全日本聾教育研究会大会資料代</v>
      </c>
      <c r="L14" s="225">
        <f>'2-2'!L14</f>
        <v>2000</v>
      </c>
      <c r="M14" s="317">
        <f>'2-2'!M14</f>
        <v>1</v>
      </c>
      <c r="N14" s="317">
        <f>'2-2'!N14</f>
        <v>1</v>
      </c>
      <c r="O14" s="343">
        <f t="shared" si="3"/>
        <v>2000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0</v>
      </c>
      <c r="B15" s="372">
        <f>'1-2'!B15</f>
        <v>0</v>
      </c>
      <c r="C15" s="373" t="str">
        <f>'1-2'!C15</f>
        <v>支援教育の専門性向上</v>
      </c>
      <c r="D15" s="255">
        <v>12</v>
      </c>
      <c r="E15" s="315" t="str">
        <f>'2-2'!E15</f>
        <v>報償費</v>
      </c>
      <c r="F15" s="316" t="str">
        <f>'2-2'!F15</f>
        <v>臨床心理士カウンセリング謝礼</v>
      </c>
      <c r="G15" s="225">
        <f>'2-2'!G15</f>
        <v>3000</v>
      </c>
      <c r="H15" s="317">
        <f>'2-2'!H15</f>
        <v>1</v>
      </c>
      <c r="I15" s="317">
        <f>'2-2'!I15</f>
        <v>7</v>
      </c>
      <c r="J15" s="374">
        <f>'2-2'!J15</f>
        <v>21000</v>
      </c>
      <c r="K15" s="375" t="str">
        <f>'2-2'!K15</f>
        <v>臨床心理士カウンセリング謝礼</v>
      </c>
      <c r="L15" s="225">
        <f>'2-2'!L15</f>
        <v>3000</v>
      </c>
      <c r="M15" s="317">
        <f>'2-2'!M15</f>
        <v>1</v>
      </c>
      <c r="N15" s="317">
        <f>'2-2'!N15</f>
        <v>0</v>
      </c>
      <c r="O15" s="343">
        <f t="shared" si="3"/>
        <v>0</v>
      </c>
      <c r="P15" s="376">
        <f>'2-2'!P15</f>
        <v>0</v>
      </c>
      <c r="Q15" s="377">
        <f>'2-2'!Q15</f>
        <v>0</v>
      </c>
      <c r="R15" s="25">
        <f>IF(AND(ISNA(MATCH($D15,'随時②-2'!$D$4:$D$18,0)),ISNA(MATCH($D15,'随時③-2'!$D$4:$D$18,0))),0,1)</f>
        <v>0</v>
      </c>
      <c r="S15" s="63">
        <f t="shared" si="0"/>
      </c>
      <c r="T15" s="63">
        <f t="shared" si="1"/>
      </c>
      <c r="U15" s="5">
        <f t="shared" si="2"/>
        <v>1</v>
      </c>
    </row>
    <row r="16" spans="1:21" ht="30" customHeight="1">
      <c r="A16" s="371">
        <f>'1-2'!A16</f>
        <v>3</v>
      </c>
      <c r="B16" s="372" t="str">
        <f>'1-2'!B16</f>
        <v>３－（２）－（２）</v>
      </c>
      <c r="C16" s="373" t="str">
        <f>'1-2'!C16</f>
        <v>ICT機器の活用</v>
      </c>
      <c r="D16" s="255">
        <v>13</v>
      </c>
      <c r="E16" s="315" t="str">
        <f>'2-2'!E16</f>
        <v>消耗需用費</v>
      </c>
      <c r="F16" s="316" t="str">
        <f>'2-2'!F16</f>
        <v>iPad Air2</v>
      </c>
      <c r="G16" s="225">
        <f>'2-2'!G16</f>
        <v>60000</v>
      </c>
      <c r="H16" s="317">
        <f>'2-2'!H16</f>
        <v>1</v>
      </c>
      <c r="I16" s="317">
        <f>'2-2'!I16</f>
        <v>1</v>
      </c>
      <c r="J16" s="374">
        <f>'2-2'!J16</f>
        <v>60000</v>
      </c>
      <c r="K16" s="375" t="str">
        <f>'2-2'!K16</f>
        <v>iPad Air2</v>
      </c>
      <c r="L16" s="225">
        <f>'2-2'!L16</f>
        <v>45640</v>
      </c>
      <c r="M16" s="317">
        <f>'2-2'!M16</f>
        <v>1</v>
      </c>
      <c r="N16" s="317">
        <f>'2-2'!N16</f>
        <v>1</v>
      </c>
      <c r="O16" s="343">
        <f t="shared" si="3"/>
        <v>45640</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4</v>
      </c>
      <c r="B17" s="372" t="str">
        <f>'1-2'!B17</f>
        <v>４－（３）－（１）</v>
      </c>
      <c r="C17" s="373" t="str">
        <f>'1-2'!C17</f>
        <v>早期教育の支援</v>
      </c>
      <c r="D17" s="255">
        <v>14</v>
      </c>
      <c r="E17" s="315" t="str">
        <f>'2-2'!E17</f>
        <v>報償費</v>
      </c>
      <c r="F17" s="316" t="str">
        <f>'2-2'!F17</f>
        <v>幼稚部体育運動講師謝礼</v>
      </c>
      <c r="G17" s="225">
        <f>'2-2'!G17</f>
        <v>21600</v>
      </c>
      <c r="H17" s="317">
        <f>'2-2'!H17</f>
        <v>1</v>
      </c>
      <c r="I17" s="317">
        <f>'2-2'!I17</f>
        <v>4</v>
      </c>
      <c r="J17" s="374">
        <f>'2-2'!J17</f>
        <v>86400</v>
      </c>
      <c r="K17" s="375" t="str">
        <f>'2-2'!K17</f>
        <v>幼稚部体育運動講師謝礼</v>
      </c>
      <c r="L17" s="225">
        <f>'2-2'!L17</f>
        <v>21600</v>
      </c>
      <c r="M17" s="317">
        <f>'2-2'!M17</f>
        <v>1</v>
      </c>
      <c r="N17" s="317">
        <f>'2-2'!N17</f>
        <v>1</v>
      </c>
      <c r="O17" s="343">
        <f t="shared" si="3"/>
        <v>21600</v>
      </c>
      <c r="P17" s="376">
        <f>'2-2'!P17</f>
        <v>0</v>
      </c>
      <c r="Q17" s="377">
        <f>'2-2'!Q17</f>
        <v>0</v>
      </c>
      <c r="R17" s="25">
        <f>IF(AND(ISNA(MATCH($D17,'随時②-2'!$D$4:$D$18,0)),ISNA(MATCH($D17,'随時③-2'!$D$4:$D$18,0))),0,1)</f>
        <v>0</v>
      </c>
      <c r="S17" s="63">
        <f t="shared" si="0"/>
      </c>
      <c r="T17" s="63">
        <f t="shared" si="1"/>
      </c>
      <c r="U17" s="5">
        <f t="shared" si="2"/>
        <v>1</v>
      </c>
    </row>
    <row r="18" spans="1:21" ht="30" customHeight="1">
      <c r="A18" s="371">
        <f>'1-2'!A18</f>
        <v>5</v>
      </c>
      <c r="B18" s="372" t="str">
        <f>'1-2'!B18</f>
        <v>４－（３）－（３）</v>
      </c>
      <c r="C18" s="373" t="str">
        <f>'1-2'!C18</f>
        <v>地域支援</v>
      </c>
      <c r="D18" s="255">
        <v>15</v>
      </c>
      <c r="E18" s="315">
        <f>'2-2'!E18</f>
      </c>
      <c r="F18" s="316" t="str">
        <f>'2-2'!F18</f>
        <v>取消し</v>
      </c>
      <c r="G18" s="225">
        <f>'2-2'!G18</f>
        <v>0</v>
      </c>
      <c r="H18" s="317">
        <f>'2-2'!H18</f>
        <v>0</v>
      </c>
      <c r="I18" s="317">
        <f>'2-2'!I18</f>
        <v>0</v>
      </c>
      <c r="J18" s="374">
        <f>'2-2'!J18</f>
        <v>0</v>
      </c>
      <c r="K18" s="375" t="str">
        <f>'2-2'!K18</f>
        <v>取消し</v>
      </c>
      <c r="L18" s="225">
        <f>'2-2'!L18</f>
        <v>0</v>
      </c>
      <c r="M18" s="317">
        <f>'2-2'!M18</f>
        <v>0</v>
      </c>
      <c r="N18" s="317">
        <f>'2-2'!N18</f>
        <v>0</v>
      </c>
      <c r="O18" s="343">
        <f t="shared" si="3"/>
        <v>0</v>
      </c>
      <c r="P18" s="376">
        <f>'2-2'!P18</f>
      </c>
      <c r="Q18" s="377">
        <f>'2-2'!Q18</f>
      </c>
      <c r="R18" s="25">
        <f>IF(AND(ISNA(MATCH($D18,'随時②-2'!$D$4:$D$18,0)),ISNA(MATCH($D18,'随時③-2'!$D$4:$D$18,0))),0,1)</f>
        <v>1</v>
      </c>
      <c r="S18" s="63">
        <f t="shared" si="0"/>
      </c>
      <c r="T18" s="63">
        <f t="shared" si="1"/>
      </c>
      <c r="U18" s="5" t="e">
        <f t="shared" si="2"/>
        <v>#N/A</v>
      </c>
    </row>
    <row r="19" spans="1:21" ht="30" customHeight="1">
      <c r="A19" s="371">
        <f>'1-2'!A19</f>
        <v>6</v>
      </c>
      <c r="B19" s="372" t="e">
        <f>'1-2'!#REF!</f>
        <v>#REF!</v>
      </c>
      <c r="C19" s="373" t="str">
        <f>'1-2'!C19</f>
        <v>人権教育の推進</v>
      </c>
      <c r="D19" s="255">
        <v>16</v>
      </c>
      <c r="E19" s="315" t="str">
        <f>'2-2'!E19</f>
        <v>報償費</v>
      </c>
      <c r="F19" s="316" t="str">
        <f>'2-2'!F19</f>
        <v>平和学習講師謝礼</v>
      </c>
      <c r="G19" s="225">
        <f>'2-2'!G19</f>
        <v>10000</v>
      </c>
      <c r="H19" s="317">
        <f>'2-2'!H19</f>
        <v>1</v>
      </c>
      <c r="I19" s="317">
        <f>'2-2'!I19</f>
        <v>1</v>
      </c>
      <c r="J19" s="374">
        <f>'2-2'!J19</f>
        <v>10000</v>
      </c>
      <c r="K19" s="375" t="str">
        <f>'2-2'!K19</f>
        <v>平和学習講師謝礼</v>
      </c>
      <c r="L19" s="225">
        <f>'2-2'!L19</f>
        <v>10000</v>
      </c>
      <c r="M19" s="317">
        <f>'2-2'!M19</f>
        <v>1</v>
      </c>
      <c r="N19" s="317">
        <f>'2-2'!N19</f>
        <v>1</v>
      </c>
      <c r="O19" s="343">
        <f t="shared" si="3"/>
        <v>10000</v>
      </c>
      <c r="P19" s="376">
        <f>'2-2'!P19</f>
        <v>0</v>
      </c>
      <c r="Q19" s="377">
        <f>'2-2'!Q19</f>
        <v>0</v>
      </c>
      <c r="R19" s="25">
        <f>IF(AND(ISNA(MATCH($D19,'随時②-2'!$D$4:$D$18,0)),ISNA(MATCH($D19,'随時③-2'!$D$4:$D$18,0))),0,1)</f>
        <v>0</v>
      </c>
      <c r="S19" s="63">
        <f t="shared" si="0"/>
      </c>
      <c r="T19" s="63">
        <f t="shared" si="1"/>
      </c>
      <c r="U19" s="5">
        <f t="shared" si="2"/>
        <v>1</v>
      </c>
    </row>
    <row r="20" spans="1:21" ht="30" customHeight="1">
      <c r="A20" s="371">
        <f>'1-2'!A20</f>
        <v>0</v>
      </c>
      <c r="B20" s="372" t="str">
        <f>'1-2'!B19</f>
        <v>１－（１）－（１）</v>
      </c>
      <c r="C20" s="373" t="str">
        <f>'1-2'!C20</f>
        <v>人権教育の推進</v>
      </c>
      <c r="D20" s="255">
        <v>17</v>
      </c>
      <c r="E20" s="315" t="str">
        <f>'2-2'!E20</f>
        <v>消耗需用費</v>
      </c>
      <c r="F20" s="316" t="str">
        <f>'2-2'!F20</f>
        <v>府立人研夏季セミナー資料代</v>
      </c>
      <c r="G20" s="225">
        <f>'2-2'!G20</f>
        <v>2000</v>
      </c>
      <c r="H20" s="317">
        <f>'2-2'!H20</f>
        <v>1</v>
      </c>
      <c r="I20" s="317">
        <f>'2-2'!I20</f>
        <v>1</v>
      </c>
      <c r="J20" s="374">
        <f>'2-2'!J20</f>
        <v>2000</v>
      </c>
      <c r="K20" s="375" t="str">
        <f>'2-2'!K20</f>
        <v>府立人研夏季セミナー資料代</v>
      </c>
      <c r="L20" s="225">
        <f>'2-2'!L20</f>
        <v>2000</v>
      </c>
      <c r="M20" s="317">
        <f>'2-2'!M20</f>
        <v>1</v>
      </c>
      <c r="N20" s="317">
        <f>'2-2'!N20</f>
        <v>1</v>
      </c>
      <c r="O20" s="343">
        <f t="shared" si="3"/>
        <v>2000</v>
      </c>
      <c r="P20" s="376">
        <f>'2-2'!P20</f>
        <v>0</v>
      </c>
      <c r="Q20" s="377">
        <f>'2-2'!Q20</f>
        <v>0</v>
      </c>
      <c r="R20" s="25">
        <f>IF(AND(ISNA(MATCH($D20,'随時②-2'!$D$4:$D$18,0)),ISNA(MATCH($D20,'随時③-2'!$D$4:$D$18,0))),0,1)</f>
        <v>0</v>
      </c>
      <c r="S20" s="63">
        <f t="shared" si="0"/>
      </c>
      <c r="T20" s="63">
        <f t="shared" si="1"/>
      </c>
      <c r="U20" s="5">
        <f t="shared" si="2"/>
        <v>7</v>
      </c>
    </row>
    <row r="21" spans="1:21" ht="30" customHeight="1">
      <c r="A21" s="371">
        <f>'1-2'!A21</f>
        <v>0</v>
      </c>
      <c r="B21" s="372">
        <f>'1-2'!B21</f>
        <v>0</v>
      </c>
      <c r="C21" s="373" t="str">
        <f>'1-2'!C21</f>
        <v>人権教育の推進</v>
      </c>
      <c r="D21" s="255">
        <v>18</v>
      </c>
      <c r="E21" s="315" t="str">
        <f>'2-2'!E21</f>
        <v>消耗需用費</v>
      </c>
      <c r="F21" s="316" t="str">
        <f>'2-2'!F21</f>
        <v>府立人研研修会資料代</v>
      </c>
      <c r="G21" s="225">
        <f>'2-2'!G21</f>
        <v>1000</v>
      </c>
      <c r="H21" s="317">
        <f>'2-2'!H21</f>
        <v>1</v>
      </c>
      <c r="I21" s="317">
        <f>'2-2'!I21</f>
        <v>1</v>
      </c>
      <c r="J21" s="374">
        <f>'2-2'!J21</f>
        <v>1000</v>
      </c>
      <c r="K21" s="375" t="str">
        <f>'2-2'!K21</f>
        <v>府立人研研修会資料代</v>
      </c>
      <c r="L21" s="225">
        <f>'2-2'!L21</f>
        <v>1000</v>
      </c>
      <c r="M21" s="317">
        <f>'2-2'!M21</f>
        <v>1</v>
      </c>
      <c r="N21" s="317">
        <f>'2-2'!N21</f>
        <v>0</v>
      </c>
      <c r="O21" s="343">
        <f t="shared" si="3"/>
        <v>0</v>
      </c>
      <c r="P21" s="376">
        <f>'2-2'!P21</f>
        <v>0</v>
      </c>
      <c r="Q21" s="377">
        <f>'2-2'!Q21</f>
        <v>0</v>
      </c>
      <c r="R21" s="25">
        <f>IF(AND(ISNA(MATCH($D21,'随時②-2'!$D$4:$D$18,0)),ISNA(MATCH($D21,'随時③-2'!$D$4:$D$18,0))),0,1)</f>
        <v>0</v>
      </c>
      <c r="S21" s="63">
        <f t="shared" si="0"/>
      </c>
      <c r="T21" s="63">
        <f t="shared" si="1"/>
      </c>
      <c r="U21" s="5">
        <f t="shared" si="2"/>
        <v>7</v>
      </c>
    </row>
    <row r="22" spans="1:21" ht="30" customHeight="1">
      <c r="A22" s="371">
        <f>'1-2'!A22</f>
        <v>7</v>
      </c>
      <c r="B22" s="372" t="str">
        <f>'1-2'!B22</f>
        <v>１－（4）－（4）</v>
      </c>
      <c r="C22" s="373" t="str">
        <f>'1-2'!C22</f>
        <v>医療的ケアの安全・適正な実施</v>
      </c>
      <c r="D22" s="255">
        <v>19</v>
      </c>
      <c r="E22" s="315" t="str">
        <f>'2-2'!E22</f>
        <v>報償費</v>
      </c>
      <c r="F22" s="316" t="str">
        <f>'2-2'!F22</f>
        <v>食物アレルギー研修講師謝礼</v>
      </c>
      <c r="G22" s="225">
        <f>'2-2'!G22</f>
        <v>50000</v>
      </c>
      <c r="H22" s="317">
        <f>'2-2'!H22</f>
        <v>1</v>
      </c>
      <c r="I22" s="317">
        <f>'2-2'!I22</f>
        <v>1</v>
      </c>
      <c r="J22" s="374">
        <f>'2-2'!J22</f>
        <v>50000</v>
      </c>
      <c r="K22" s="375" t="str">
        <f>'2-2'!K22</f>
        <v>食物アレルギー研修講師謝礼</v>
      </c>
      <c r="L22" s="225">
        <f>'2-2'!L22</f>
        <v>50000</v>
      </c>
      <c r="M22" s="317">
        <f>'2-2'!M22</f>
        <v>1</v>
      </c>
      <c r="N22" s="317">
        <f>'2-2'!N22</f>
        <v>1</v>
      </c>
      <c r="O22" s="343">
        <f t="shared" si="3"/>
        <v>50000</v>
      </c>
      <c r="P22" s="376">
        <f>'2-2'!P22</f>
        <v>0</v>
      </c>
      <c r="Q22" s="377">
        <f>'2-2'!Q22</f>
        <v>0</v>
      </c>
      <c r="R22" s="25">
        <f>IF(AND(ISNA(MATCH($D22,'随時②-2'!$D$4:$D$18,0)),ISNA(MATCH($D22,'随時③-2'!$D$4:$D$18,0))),0,1)</f>
        <v>0</v>
      </c>
      <c r="S22" s="63">
        <f t="shared" si="0"/>
      </c>
      <c r="T22" s="63">
        <f t="shared" si="1"/>
      </c>
      <c r="U22" s="5">
        <f t="shared" si="2"/>
        <v>1</v>
      </c>
    </row>
    <row r="23" spans="1:21" ht="30" customHeight="1">
      <c r="A23" s="371">
        <f>'随時②-2'!A21</f>
        <v>5</v>
      </c>
      <c r="B23" s="372" t="str">
        <f>'随時②-2'!B21</f>
        <v>４－（３）－（３）</v>
      </c>
      <c r="C23" s="373" t="str">
        <f>'随時②-2'!C21</f>
        <v>地域支援</v>
      </c>
      <c r="D23" s="264">
        <v>201</v>
      </c>
      <c r="E23" s="316" t="str">
        <f>'2-2'!E124</f>
        <v>旅費</v>
      </c>
      <c r="F23" s="316" t="str">
        <f>'2-2'!F124</f>
        <v>地域校教員向け研修講師旅費</v>
      </c>
      <c r="G23" s="225">
        <f>'2-2'!G124</f>
        <v>20000</v>
      </c>
      <c r="H23" s="317">
        <f>'2-2'!H124</f>
        <v>1</v>
      </c>
      <c r="I23" s="317">
        <f>'2-2'!I124</f>
        <v>1</v>
      </c>
      <c r="J23" s="366">
        <f>'2-2'!J124</f>
        <v>20000</v>
      </c>
      <c r="K23" s="381" t="str">
        <f>'2-2'!K124</f>
        <v>地域校教員向け研修講師旅費</v>
      </c>
      <c r="L23" s="304">
        <f>'2-2'!L124</f>
        <v>12840</v>
      </c>
      <c r="M23" s="305">
        <f>'2-2'!M124</f>
        <v>1</v>
      </c>
      <c r="N23" s="305">
        <f>'2-2'!N124</f>
        <v>1</v>
      </c>
      <c r="O23" s="368">
        <f>L23*M23*N23</f>
        <v>12840</v>
      </c>
      <c r="P23" s="369">
        <f>'2-2'!P124</f>
        <v>0</v>
      </c>
      <c r="Q23" s="370">
        <f>'2-2'!Q124</f>
        <v>0</v>
      </c>
      <c r="R23" s="25">
        <f>IF(AND(ISNA(MATCH($D23,'随時②-2'!$D$4:$D$18,0)),ISNA(MATCH($D23,'随時③-2'!$D$4:$D$18,0))),0,1)</f>
        <v>0</v>
      </c>
      <c r="S23" s="63">
        <f>IF(P23="◎",J23,"")</f>
      </c>
      <c r="T23" s="63">
        <f>IF(P23="◎",O23,"")</f>
      </c>
      <c r="U23" s="5">
        <f>IF($E23=0,"",VLOOKUP($E23,$V$5:$X$13,2))</f>
        <v>2</v>
      </c>
    </row>
    <row r="24" spans="1:20" ht="30" customHeight="1">
      <c r="A24" s="371">
        <f>'2-4'!A4</f>
        <v>0</v>
      </c>
      <c r="B24" s="372">
        <f>'2-4'!B4</f>
        <v>0</v>
      </c>
      <c r="C24" s="373">
        <f>'2-4'!C4</f>
        <v>0</v>
      </c>
      <c r="D24" s="264">
        <v>301</v>
      </c>
      <c r="E24" s="316" t="str">
        <f>IF($R24=1,"",VLOOKUP($D24,'2-4'!$D$4:$L$103,2))</f>
        <v>負担金、補助及び交付金</v>
      </c>
      <c r="F24" s="316" t="str">
        <f>IF($R24=1,"取消し",VLOOKUP($D24,'2-4'!$D$4:$L$103,3))</f>
        <v>各種団体負担金（会費）</v>
      </c>
      <c r="G24" s="225">
        <f>IF($R24=1,,VLOOKUP($D24,'2-4'!$D$4:$L$103,4))</f>
        <v>21000</v>
      </c>
      <c r="H24" s="317">
        <f>IF($R24=1,,VLOOKUP($D24,'2-4'!$D$4:$L$103,5))</f>
        <v>1</v>
      </c>
      <c r="I24" s="317">
        <f>IF($R24=1,,VLOOKUP($D24,'2-4'!$D$4:$L$103,6))</f>
        <v>1</v>
      </c>
      <c r="J24" s="225">
        <f>IF($R24=1,,VLOOKUP($D24,'2-4'!$D$4:$L$103,7))</f>
        <v>21000</v>
      </c>
      <c r="K24" s="340" t="str">
        <f aca="true" t="shared" si="4" ref="K24:K41">F24</f>
        <v>各種団体負担金（会費）</v>
      </c>
      <c r="L24" s="341">
        <v>9050</v>
      </c>
      <c r="M24" s="342">
        <f aca="true" t="shared" si="5" ref="M24:M41">H24</f>
        <v>1</v>
      </c>
      <c r="N24" s="342">
        <f aca="true" t="shared" si="6" ref="N24:N41">I24</f>
        <v>1</v>
      </c>
      <c r="O24" s="343">
        <f>L24*M24*N24</f>
        <v>9050</v>
      </c>
      <c r="P24" s="382">
        <f>IF($R24=1,"",VLOOKUP($D24,'2-4'!$D$4:$L$103,8))</f>
        <v>0</v>
      </c>
      <c r="Q24" s="280" t="s">
        <v>254</v>
      </c>
      <c r="R24" s="25">
        <f>IF(AND(ISNA(MATCH($D24,'随時②-2'!$D$4:$D$18,0)),ISNA(MATCH($D24,'随時③-2'!$D$4:$D$18,0))),0,1)</f>
        <v>0</v>
      </c>
      <c r="S24" s="63">
        <f aca="true" t="shared" si="7" ref="S24:S41">IF(P24="◎",J24,"")</f>
      </c>
      <c r="T24" s="63">
        <f aca="true" t="shared" si="8" ref="T24:T41">IF(P24="◎",O24,"")</f>
      </c>
    </row>
    <row r="25" spans="1:20" ht="30" customHeight="1">
      <c r="A25" s="378">
        <f>'2-4'!A5</f>
        <v>1</v>
      </c>
      <c r="B25" s="379" t="str">
        <f>'2-4'!B5</f>
        <v>２－（１）－（１）</v>
      </c>
      <c r="C25" s="380" t="str">
        <f>'2-4'!C5</f>
        <v>キャリア教育の推進</v>
      </c>
      <c r="D25" s="255">
        <v>302</v>
      </c>
      <c r="E25" s="316" t="str">
        <f>IF($R25=1,"",VLOOKUP($D25,'2-4'!$D$4:$L$103,2))</f>
        <v>報償費</v>
      </c>
      <c r="F25" s="316" t="str">
        <f>IF($R25=1,"取消し",VLOOKUP($D25,'2-4'!$D$4:$L$103,3))</f>
        <v>外国語授業講師謝礼</v>
      </c>
      <c r="G25" s="225">
        <f>IF($R25=1,,VLOOKUP($D25,'2-4'!$D$4:$L$103,4))</f>
        <v>10000</v>
      </c>
      <c r="H25" s="317">
        <f>IF($R25=1,,VLOOKUP($D25,'2-4'!$D$4:$L$103,5))</f>
        <v>1</v>
      </c>
      <c r="I25" s="317">
        <f>IF($R25=1,,VLOOKUP($D25,'2-4'!$D$4:$L$103,6))</f>
        <v>2</v>
      </c>
      <c r="J25" s="225">
        <f>IF($R25=1,,VLOOKUP($D25,'2-4'!$D$4:$L$103,7))</f>
        <v>20000</v>
      </c>
      <c r="K25" s="319" t="str">
        <f t="shared" si="4"/>
        <v>外国語授業講師謝礼</v>
      </c>
      <c r="L25" s="320">
        <f aca="true" t="shared" si="9" ref="L25:L41">G25</f>
        <v>10000</v>
      </c>
      <c r="M25" s="321">
        <f t="shared" si="5"/>
        <v>1</v>
      </c>
      <c r="N25" s="321">
        <f t="shared" si="6"/>
        <v>2</v>
      </c>
      <c r="O25" s="310">
        <f aca="true" t="shared" si="10" ref="O25:O41">L25*M25*N25</f>
        <v>20000</v>
      </c>
      <c r="P25" s="382">
        <f>IF($R25=1,"",VLOOKUP($D25,'2-4'!$D$4:$L$103,8))</f>
        <v>0</v>
      </c>
      <c r="Q25" s="280">
        <f>IF($R25=1,"",VLOOKUP($D25,'2-4'!$D$4:$L$103,9))</f>
        <v>0</v>
      </c>
      <c r="R25" s="25">
        <f>IF(AND(ISNA(MATCH($D25,'随時②-2'!$D$4:$D$18,0)),ISNA(MATCH($D25,'随時③-2'!$D$4:$D$18,0))),0,1)</f>
        <v>0</v>
      </c>
      <c r="S25" s="63">
        <f t="shared" si="7"/>
      </c>
      <c r="T25" s="63">
        <f t="shared" si="8"/>
      </c>
    </row>
    <row r="26" spans="1:20" ht="30" customHeight="1">
      <c r="A26" s="378">
        <f>'2-4'!A6</f>
        <v>0</v>
      </c>
      <c r="B26" s="379">
        <f>'2-4'!B6</f>
        <v>0</v>
      </c>
      <c r="C26" s="380">
        <f>'2-4'!C6</f>
        <v>0</v>
      </c>
      <c r="D26" s="255">
        <v>303</v>
      </c>
      <c r="E26" s="316" t="str">
        <f>IF($R26=1,"",VLOOKUP($D26,'2-4'!$D$4:$L$103,2))</f>
        <v>報償費</v>
      </c>
      <c r="F26" s="316" t="str">
        <f>IF($R26=1,"取消し",VLOOKUP($D26,'2-4'!$D$4:$L$103,3))</f>
        <v>キャリア教育推進講演会講師謝礼</v>
      </c>
      <c r="G26" s="225">
        <f>IF($R26=1,,VLOOKUP($D26,'2-4'!$D$4:$L$103,4))</f>
        <v>30000</v>
      </c>
      <c r="H26" s="317">
        <f>IF($R26=1,,VLOOKUP($D26,'2-4'!$D$4:$L$103,5))</f>
        <v>1</v>
      </c>
      <c r="I26" s="317">
        <f>IF($R26=1,,VLOOKUP($D26,'2-4'!$D$4:$L$103,6))</f>
        <v>1</v>
      </c>
      <c r="J26" s="225">
        <f>IF($R26=1,,VLOOKUP($D26,'2-4'!$D$4:$L$103,7))</f>
        <v>30000</v>
      </c>
      <c r="K26" s="319" t="str">
        <f t="shared" si="4"/>
        <v>キャリア教育推進講演会講師謝礼</v>
      </c>
      <c r="L26" s="320">
        <v>30000</v>
      </c>
      <c r="M26" s="321">
        <f t="shared" si="5"/>
        <v>1</v>
      </c>
      <c r="N26" s="321">
        <v>0</v>
      </c>
      <c r="O26" s="310">
        <f t="shared" si="10"/>
        <v>0</v>
      </c>
      <c r="P26" s="382">
        <f>IF($R26=1,"",VLOOKUP($D26,'2-4'!$D$4:$L$103,8))</f>
        <v>0</v>
      </c>
      <c r="Q26" s="280">
        <f>IF($R26=1,"",VLOOKUP($D26,'2-4'!$D$4:$L$103,9))</f>
        <v>0</v>
      </c>
      <c r="R26" s="25">
        <f>IF(AND(ISNA(MATCH($D26,'随時②-2'!$D$4:$D$18,0)),ISNA(MATCH($D26,'随時③-2'!$D$4:$D$18,0))),0,1)</f>
        <v>0</v>
      </c>
      <c r="S26" s="63">
        <f t="shared" si="7"/>
      </c>
      <c r="T26" s="63">
        <f t="shared" si="8"/>
      </c>
    </row>
    <row r="27" spans="1:20" ht="30" customHeight="1">
      <c r="A27" s="378">
        <f>'2-4'!A7</f>
        <v>0</v>
      </c>
      <c r="B27" s="379">
        <f>'2-4'!B7</f>
        <v>0</v>
      </c>
      <c r="C27" s="380">
        <f>'2-4'!C7</f>
        <v>0</v>
      </c>
      <c r="D27" s="255">
        <v>304</v>
      </c>
      <c r="E27" s="316" t="str">
        <f>IF($R27=1,"",VLOOKUP($D27,'2-4'!$D$4:$L$103,2))</f>
        <v>報償費</v>
      </c>
      <c r="F27" s="316" t="str">
        <f>IF($R27=1,"取消し",VLOOKUP($D27,'2-4'!$D$4:$L$103,3))</f>
        <v>小学部「先輩の話を聞く」講師謝礼</v>
      </c>
      <c r="G27" s="225">
        <f>IF($R27=1,,VLOOKUP($D27,'2-4'!$D$4:$L$103,4))</f>
        <v>5000</v>
      </c>
      <c r="H27" s="317">
        <f>IF($R27=1,,VLOOKUP($D27,'2-4'!$D$4:$L$103,5))</f>
        <v>1</v>
      </c>
      <c r="I27" s="317">
        <f>IF($R27=1,,VLOOKUP($D27,'2-4'!$D$4:$L$103,6))</f>
        <v>1</v>
      </c>
      <c r="J27" s="225">
        <f>IF($R27=1,,VLOOKUP($D27,'2-4'!$D$4:$L$103,7))</f>
        <v>5000</v>
      </c>
      <c r="K27" s="319" t="str">
        <f t="shared" si="4"/>
        <v>小学部「先輩の話を聞く」講師謝礼</v>
      </c>
      <c r="L27" s="320">
        <f t="shared" si="9"/>
        <v>5000</v>
      </c>
      <c r="M27" s="321">
        <f t="shared" si="5"/>
        <v>1</v>
      </c>
      <c r="N27" s="321">
        <f t="shared" si="6"/>
        <v>1</v>
      </c>
      <c r="O27" s="310">
        <f t="shared" si="10"/>
        <v>5000</v>
      </c>
      <c r="P27" s="382">
        <f>IF($R27=1,"",VLOOKUP($D27,'2-4'!$D$4:$L$103,8))</f>
        <v>0</v>
      </c>
      <c r="Q27" s="280">
        <f>IF($R27=1,"",VLOOKUP($D27,'2-4'!$D$4:$L$103,9))</f>
        <v>0</v>
      </c>
      <c r="R27" s="25">
        <f>IF(AND(ISNA(MATCH($D27,'随時②-2'!$D$4:$D$18,0)),ISNA(MATCH($D27,'随時③-2'!$D$4:$D$18,0))),0,1)</f>
        <v>0</v>
      </c>
      <c r="S27" s="63">
        <f t="shared" si="7"/>
      </c>
      <c r="T27" s="63">
        <f t="shared" si="8"/>
      </c>
    </row>
    <row r="28" spans="1:20" ht="30" customHeight="1">
      <c r="A28" s="378">
        <f>'2-4'!A8</f>
        <v>0</v>
      </c>
      <c r="B28" s="379">
        <f>'2-4'!B8</f>
        <v>0</v>
      </c>
      <c r="C28" s="380">
        <f>'2-4'!C8</f>
        <v>0</v>
      </c>
      <c r="D28" s="255">
        <v>305</v>
      </c>
      <c r="E28" s="316" t="str">
        <f>IF($R28=1,"",VLOOKUP($D28,'2-4'!$D$4:$L$103,2))</f>
        <v>旅費</v>
      </c>
      <c r="F28" s="316" t="str">
        <f>IF($R28=1,"取消し",VLOOKUP($D28,'2-4'!$D$4:$L$103,3))</f>
        <v>キャリア教育推進研修派遣旅費</v>
      </c>
      <c r="G28" s="225">
        <f>IF($R28=1,,VLOOKUP($D28,'2-4'!$D$4:$L$103,4))</f>
        <v>30000</v>
      </c>
      <c r="H28" s="317">
        <f>IF($R28=1,,VLOOKUP($D28,'2-4'!$D$4:$L$103,5))</f>
        <v>1</v>
      </c>
      <c r="I28" s="317">
        <f>IF($R28=1,,VLOOKUP($D28,'2-4'!$D$4:$L$103,6))</f>
        <v>2</v>
      </c>
      <c r="J28" s="225">
        <f>IF($R28=1,,VLOOKUP($D28,'2-4'!$D$4:$L$103,7))</f>
        <v>60000</v>
      </c>
      <c r="K28" s="319" t="str">
        <f t="shared" si="4"/>
        <v>キャリア教育推進研修派遣旅費</v>
      </c>
      <c r="L28" s="320">
        <v>48620</v>
      </c>
      <c r="M28" s="321">
        <f t="shared" si="5"/>
        <v>1</v>
      </c>
      <c r="N28" s="321">
        <v>1</v>
      </c>
      <c r="O28" s="310">
        <f t="shared" si="10"/>
        <v>48620</v>
      </c>
      <c r="P28" s="382">
        <f>IF($R28=1,"",VLOOKUP($D28,'2-4'!$D$4:$L$103,8))</f>
        <v>0</v>
      </c>
      <c r="Q28" s="280">
        <f>IF($R28=1,"",VLOOKUP($D28,'2-4'!$D$4:$L$103,9))</f>
        <v>0</v>
      </c>
      <c r="R28" s="25">
        <f>IF(AND(ISNA(MATCH($D28,'随時②-2'!$D$4:$D$18,0)),ISNA(MATCH($D28,'随時③-2'!$D$4:$D$18,0))),0,1)</f>
        <v>0</v>
      </c>
      <c r="S28" s="63">
        <f t="shared" si="7"/>
      </c>
      <c r="T28" s="63">
        <f t="shared" si="8"/>
      </c>
    </row>
    <row r="29" spans="1:20" ht="30" customHeight="1">
      <c r="A29" s="378">
        <f>'2-4'!A9</f>
        <v>2</v>
      </c>
      <c r="B29" s="379" t="str">
        <f>'2-4'!B9</f>
        <v>３－（１）－（１）</v>
      </c>
      <c r="C29" s="380" t="str">
        <f>'2-4'!C9</f>
        <v>支援教育の専門性向上</v>
      </c>
      <c r="D29" s="255">
        <v>306</v>
      </c>
      <c r="E29" s="316" t="str">
        <f>IF($R29=1,"",VLOOKUP($D29,'2-4'!$D$4:$L$103,2))</f>
        <v>報償費</v>
      </c>
      <c r="F29" s="316" t="str">
        <f>IF($R29=1,"取消し",VLOOKUP($D29,'2-4'!$D$4:$L$103,3))</f>
        <v>臨床心理士指導謝礼</v>
      </c>
      <c r="G29" s="225">
        <f>IF($R29=1,,VLOOKUP($D29,'2-4'!$D$4:$L$103,4))</f>
        <v>14000</v>
      </c>
      <c r="H29" s="317">
        <f>IF($R29=1,,VLOOKUP($D29,'2-4'!$D$4:$L$103,5))</f>
        <v>1</v>
      </c>
      <c r="I29" s="317">
        <f>IF($R29=1,,VLOOKUP($D29,'2-4'!$D$4:$L$103,6))</f>
        <v>6</v>
      </c>
      <c r="J29" s="225">
        <f>IF($R29=1,,VLOOKUP($D29,'2-4'!$D$4:$L$103,7))</f>
        <v>84000</v>
      </c>
      <c r="K29" s="319" t="str">
        <f t="shared" si="4"/>
        <v>臨床心理士指導謝礼</v>
      </c>
      <c r="L29" s="320">
        <f t="shared" si="9"/>
        <v>14000</v>
      </c>
      <c r="M29" s="321">
        <f t="shared" si="5"/>
        <v>1</v>
      </c>
      <c r="N29" s="321">
        <f t="shared" si="6"/>
        <v>6</v>
      </c>
      <c r="O29" s="310">
        <f t="shared" si="10"/>
        <v>84000</v>
      </c>
      <c r="P29" s="382">
        <f>IF($R29=1,"",VLOOKUP($D29,'2-4'!$D$4:$L$103,8))</f>
        <v>0</v>
      </c>
      <c r="Q29" s="280">
        <f>IF($R29=1,"",VLOOKUP($D29,'2-4'!$D$4:$L$103,9))</f>
        <v>0</v>
      </c>
      <c r="R29" s="25">
        <f>IF(AND(ISNA(MATCH($D29,'随時②-2'!$D$4:$D$18,0)),ISNA(MATCH($D29,'随時③-2'!$D$4:$D$18,0))),0,1)</f>
        <v>0</v>
      </c>
      <c r="S29" s="63">
        <f t="shared" si="7"/>
      </c>
      <c r="T29" s="63">
        <f t="shared" si="8"/>
      </c>
    </row>
    <row r="30" spans="1:20" ht="30" customHeight="1">
      <c r="A30" s="378">
        <f>'2-4'!A10</f>
        <v>0</v>
      </c>
      <c r="B30" s="379">
        <f>'2-4'!B10</f>
        <v>0</v>
      </c>
      <c r="C30" s="380">
        <f>'2-4'!C10</f>
        <v>0</v>
      </c>
      <c r="D30" s="255">
        <v>307</v>
      </c>
      <c r="E30" s="316" t="str">
        <f>IF($R30=1,"",VLOOKUP($D30,'2-4'!$D$4:$L$103,2))</f>
        <v>報償費</v>
      </c>
      <c r="F30" s="316" t="str">
        <f>IF($R30=1,"取消し",VLOOKUP($D30,'2-4'!$D$4:$L$103,3))</f>
        <v>臨床心理士研修謝礼</v>
      </c>
      <c r="G30" s="225">
        <f>IF($R30=1,,VLOOKUP($D30,'2-4'!$D$4:$L$103,4))</f>
        <v>10000</v>
      </c>
      <c r="H30" s="317">
        <f>IF($R30=1,,VLOOKUP($D30,'2-4'!$D$4:$L$103,5))</f>
        <v>1</v>
      </c>
      <c r="I30" s="317">
        <f>IF($R30=1,,VLOOKUP($D30,'2-4'!$D$4:$L$103,6))</f>
        <v>1</v>
      </c>
      <c r="J30" s="225">
        <f>IF($R30=1,,VLOOKUP($D30,'2-4'!$D$4:$L$103,7))</f>
        <v>10000</v>
      </c>
      <c r="K30" s="319" t="str">
        <f t="shared" si="4"/>
        <v>臨床心理士研修謝礼</v>
      </c>
      <c r="L30" s="320">
        <f t="shared" si="9"/>
        <v>10000</v>
      </c>
      <c r="M30" s="321">
        <f t="shared" si="5"/>
        <v>1</v>
      </c>
      <c r="N30" s="321">
        <f t="shared" si="6"/>
        <v>1</v>
      </c>
      <c r="O30" s="310">
        <f t="shared" si="10"/>
        <v>10000</v>
      </c>
      <c r="P30" s="382">
        <f>IF($R30=1,"",VLOOKUP($D30,'2-4'!$D$4:$L$103,8))</f>
        <v>0</v>
      </c>
      <c r="Q30" s="280">
        <f>IF($R30=1,"",VLOOKUP($D30,'2-4'!$D$4:$L$103,9))</f>
        <v>0</v>
      </c>
      <c r="R30" s="25">
        <f>IF(AND(ISNA(MATCH($D30,'随時②-2'!$D$4:$D$18,0)),ISNA(MATCH($D30,'随時③-2'!$D$4:$D$18,0))),0,1)</f>
        <v>0</v>
      </c>
      <c r="S30" s="63">
        <f t="shared" si="7"/>
      </c>
      <c r="T30" s="63">
        <f t="shared" si="8"/>
      </c>
    </row>
    <row r="31" spans="1:20" ht="30" customHeight="1">
      <c r="A31" s="378">
        <f>'2-4'!A11</f>
        <v>0</v>
      </c>
      <c r="B31" s="379">
        <f>'2-4'!B11</f>
        <v>0</v>
      </c>
      <c r="C31" s="380">
        <f>'2-4'!C11</f>
        <v>0</v>
      </c>
      <c r="D31" s="255">
        <v>308</v>
      </c>
      <c r="E31" s="316" t="str">
        <f>IF($R31=1,"",VLOOKUP($D31,'2-4'!$D$4:$L$103,2))</f>
        <v>報償費</v>
      </c>
      <c r="F31" s="316" t="str">
        <f>IF($R31=1,"取消し",VLOOKUP($D31,'2-4'!$D$4:$L$103,3))</f>
        <v>小学部専門性向上研修講師謝礼</v>
      </c>
      <c r="G31" s="225">
        <f>IF($R31=1,,VLOOKUP($D31,'2-4'!$D$4:$L$103,4))</f>
        <v>5000</v>
      </c>
      <c r="H31" s="317">
        <f>IF($R31=1,,VLOOKUP($D31,'2-4'!$D$4:$L$103,5))</f>
        <v>1</v>
      </c>
      <c r="I31" s="317">
        <f>IF($R31=1,,VLOOKUP($D31,'2-4'!$D$4:$L$103,6))</f>
        <v>5</v>
      </c>
      <c r="J31" s="225">
        <f>IF($R31=1,,VLOOKUP($D31,'2-4'!$D$4:$L$103,7))</f>
        <v>25000</v>
      </c>
      <c r="K31" s="319" t="str">
        <f t="shared" si="4"/>
        <v>小学部専門性向上研修講師謝礼</v>
      </c>
      <c r="L31" s="320">
        <f t="shared" si="9"/>
        <v>5000</v>
      </c>
      <c r="M31" s="321">
        <f t="shared" si="5"/>
        <v>1</v>
      </c>
      <c r="N31" s="321">
        <v>4</v>
      </c>
      <c r="O31" s="310">
        <f t="shared" si="10"/>
        <v>20000</v>
      </c>
      <c r="P31" s="382">
        <f>IF($R31=1,"",VLOOKUP($D31,'2-4'!$D$4:$L$103,8))</f>
        <v>0</v>
      </c>
      <c r="Q31" s="280">
        <f>IF($R31=1,"",VLOOKUP($D31,'2-4'!$D$4:$L$103,9))</f>
        <v>0</v>
      </c>
      <c r="R31" s="25">
        <f>IF(AND(ISNA(MATCH($D31,'随時②-2'!$D$4:$D$18,0)),ISNA(MATCH($D31,'随時③-2'!$D$4:$D$18,0))),0,1)</f>
        <v>0</v>
      </c>
      <c r="S31" s="63">
        <f t="shared" si="7"/>
      </c>
      <c r="T31" s="63">
        <f t="shared" si="8"/>
      </c>
    </row>
    <row r="32" spans="1:20" ht="30" customHeight="1">
      <c r="A32" s="378">
        <f>'2-4'!A12</f>
        <v>0</v>
      </c>
      <c r="B32" s="379">
        <f>'2-4'!B12</f>
        <v>0</v>
      </c>
      <c r="C32" s="380">
        <f>'2-4'!C12</f>
        <v>0</v>
      </c>
      <c r="D32" s="255">
        <v>309</v>
      </c>
      <c r="E32" s="316" t="str">
        <f>IF($R32=1,"",VLOOKUP($D32,'2-4'!$D$4:$L$103,2))</f>
        <v>旅費</v>
      </c>
      <c r="F32" s="316" t="str">
        <f>IF($R32=1,"取消し",VLOOKUP($D32,'2-4'!$D$4:$L$103,3))</f>
        <v>専門性向上研修派遣旅費</v>
      </c>
      <c r="G32" s="225">
        <f>IF($R32=1,,VLOOKUP($D32,'2-4'!$D$4:$L$103,4))</f>
        <v>45000</v>
      </c>
      <c r="H32" s="317">
        <f>IF($R32=1,,VLOOKUP($D32,'2-4'!$D$4:$L$103,5))</f>
        <v>1</v>
      </c>
      <c r="I32" s="317">
        <f>IF($R32=1,,VLOOKUP($D32,'2-4'!$D$4:$L$103,6))</f>
        <v>1</v>
      </c>
      <c r="J32" s="225">
        <f>IF($R32=1,,VLOOKUP($D32,'2-4'!$D$4:$L$103,7))</f>
        <v>45000</v>
      </c>
      <c r="K32" s="319" t="str">
        <f t="shared" si="4"/>
        <v>専門性向上研修派遣旅費</v>
      </c>
      <c r="L32" s="320">
        <v>30300</v>
      </c>
      <c r="M32" s="321">
        <f t="shared" si="5"/>
        <v>1</v>
      </c>
      <c r="N32" s="321">
        <f t="shared" si="6"/>
        <v>1</v>
      </c>
      <c r="O32" s="310">
        <f t="shared" si="10"/>
        <v>30300</v>
      </c>
      <c r="P32" s="382">
        <f>IF($R32=1,"",VLOOKUP($D32,'2-4'!$D$4:$L$103,8))</f>
        <v>0</v>
      </c>
      <c r="Q32" s="280">
        <f>IF($R32=1,"",VLOOKUP($D32,'2-4'!$D$4:$L$103,9))</f>
        <v>0</v>
      </c>
      <c r="R32" s="25">
        <f>IF(AND(ISNA(MATCH($D32,'随時②-2'!$D$4:$D$18,0)),ISNA(MATCH($D32,'随時③-2'!$D$4:$D$18,0))),0,1)</f>
        <v>0</v>
      </c>
      <c r="S32" s="63">
        <f t="shared" si="7"/>
      </c>
      <c r="T32" s="63">
        <f t="shared" si="8"/>
      </c>
    </row>
    <row r="33" spans="1:20" ht="30" customHeight="1">
      <c r="A33" s="378">
        <f>'2-4'!A13</f>
        <v>0</v>
      </c>
      <c r="B33" s="379">
        <f>'2-4'!B13</f>
        <v>0</v>
      </c>
      <c r="C33" s="380">
        <f>'2-4'!C13</f>
        <v>0</v>
      </c>
      <c r="D33" s="255">
        <v>310</v>
      </c>
      <c r="E33" s="316" t="str">
        <f>IF($R33=1,"",VLOOKUP($D33,'2-4'!$D$4:$L$103,2))</f>
        <v>報償費</v>
      </c>
      <c r="F33" s="316" t="str">
        <f>IF($R33=1,"取消し",VLOOKUP($D33,'2-4'!$D$4:$L$103,3))</f>
        <v>臨床心理士カウンセリング謝礼</v>
      </c>
      <c r="G33" s="225">
        <f>IF($R33=1,,VLOOKUP($D33,'2-4'!$D$4:$L$103,4))</f>
        <v>3000</v>
      </c>
      <c r="H33" s="317">
        <f>IF($R33=1,,VLOOKUP($D33,'2-4'!$D$4:$L$103,5))</f>
        <v>1</v>
      </c>
      <c r="I33" s="317">
        <f>IF($R33=1,,VLOOKUP($D33,'2-4'!$D$4:$L$103,6))</f>
        <v>7</v>
      </c>
      <c r="J33" s="225">
        <f>IF($R33=1,,VLOOKUP($D33,'2-4'!$D$4:$L$103,7))</f>
        <v>21000</v>
      </c>
      <c r="K33" s="319" t="str">
        <f t="shared" si="4"/>
        <v>臨床心理士カウンセリング謝礼</v>
      </c>
      <c r="L33" s="320">
        <f t="shared" si="9"/>
        <v>3000</v>
      </c>
      <c r="M33" s="321">
        <f t="shared" si="5"/>
        <v>1</v>
      </c>
      <c r="N33" s="321">
        <f t="shared" si="6"/>
        <v>7</v>
      </c>
      <c r="O33" s="310">
        <f t="shared" si="10"/>
        <v>21000</v>
      </c>
      <c r="P33" s="382">
        <f>IF($R33=1,"",VLOOKUP($D33,'2-4'!$D$4:$L$103,8))</f>
        <v>0</v>
      </c>
      <c r="Q33" s="280">
        <f>IF($R33=1,"",VLOOKUP($D33,'2-4'!$D$4:$L$103,9))</f>
        <v>0</v>
      </c>
      <c r="R33" s="25">
        <f>IF(AND(ISNA(MATCH($D33,'随時②-2'!$D$4:$D$18,0)),ISNA(MATCH($D33,'随時③-2'!$D$4:$D$18,0))),0,1)</f>
        <v>0</v>
      </c>
      <c r="S33" s="63">
        <f t="shared" si="7"/>
      </c>
      <c r="T33" s="63">
        <f t="shared" si="8"/>
      </c>
    </row>
    <row r="34" spans="1:20" ht="30" customHeight="1">
      <c r="A34" s="378">
        <f>'2-4'!A14</f>
        <v>0</v>
      </c>
      <c r="B34" s="379">
        <f>'2-4'!B14</f>
        <v>0</v>
      </c>
      <c r="C34" s="380">
        <f>'2-4'!C14</f>
        <v>0</v>
      </c>
      <c r="D34" s="255">
        <v>311</v>
      </c>
      <c r="E34" s="316" t="str">
        <f>IF($R34=1,"",VLOOKUP($D34,'2-4'!$D$4:$L$103,2))</f>
        <v>報償費</v>
      </c>
      <c r="F34" s="316" t="str">
        <f>IF($R34=1,"取消し",VLOOKUP($D34,'2-4'!$D$4:$L$103,3))</f>
        <v>幼稚部体育運動講師謝礼</v>
      </c>
      <c r="G34" s="225">
        <f>IF($R34=1,,VLOOKUP($D34,'2-4'!$D$4:$L$103,4))</f>
        <v>21600</v>
      </c>
      <c r="H34" s="317">
        <f>IF($R34=1,,VLOOKUP($D34,'2-4'!$D$4:$L$103,5))</f>
        <v>1</v>
      </c>
      <c r="I34" s="317">
        <f>IF($R34=1,,VLOOKUP($D34,'2-4'!$D$4:$L$103,6))</f>
        <v>3</v>
      </c>
      <c r="J34" s="225">
        <f>IF($R34=1,,VLOOKUP($D34,'2-4'!$D$4:$L$103,7))</f>
        <v>64800</v>
      </c>
      <c r="K34" s="319" t="str">
        <f t="shared" si="4"/>
        <v>幼稚部体育運動講師謝礼</v>
      </c>
      <c r="L34" s="320">
        <f t="shared" si="9"/>
        <v>21600</v>
      </c>
      <c r="M34" s="321">
        <f t="shared" si="5"/>
        <v>1</v>
      </c>
      <c r="N34" s="321">
        <v>2</v>
      </c>
      <c r="O34" s="310">
        <f t="shared" si="10"/>
        <v>43200</v>
      </c>
      <c r="P34" s="382">
        <f>IF($R34=1,"",VLOOKUP($D34,'2-4'!$D$4:$L$103,8))</f>
        <v>0</v>
      </c>
      <c r="Q34" s="280">
        <f>IF($R34=1,"",VLOOKUP($D34,'2-4'!$D$4:$L$103,9))</f>
        <v>0</v>
      </c>
      <c r="R34" s="25">
        <f>IF(AND(ISNA(MATCH($D34,'随時②-2'!$D$4:$D$18,0)),ISNA(MATCH($D34,'随時③-2'!$D$4:$D$18,0))),0,1)</f>
        <v>0</v>
      </c>
      <c r="S34" s="63">
        <f t="shared" si="7"/>
      </c>
      <c r="T34" s="63">
        <f t="shared" si="8"/>
      </c>
    </row>
    <row r="35" spans="1:20" ht="30" customHeight="1">
      <c r="A35" s="378">
        <f>'2-4'!A15</f>
        <v>3</v>
      </c>
      <c r="B35" s="379" t="str">
        <f>'2-4'!B15</f>
        <v>３－（２）－（２）</v>
      </c>
      <c r="C35" s="380" t="str">
        <f>'2-4'!C15</f>
        <v>ICT機器の活用</v>
      </c>
      <c r="D35" s="255">
        <v>312</v>
      </c>
      <c r="E35" s="316" t="str">
        <f>IF($R35=1,"",VLOOKUP($D35,'2-4'!$D$4:$L$103,2))</f>
        <v>消耗需用費</v>
      </c>
      <c r="F35" s="316" t="str">
        <f>IF($R35=1,"取消し",VLOOKUP($D35,'2-4'!$D$4:$L$103,3))</f>
        <v>リナックスパソコン一式</v>
      </c>
      <c r="G35" s="225">
        <f>IF($R35=1,,VLOOKUP($D35,'2-4'!$D$4:$L$103,4))</f>
        <v>48000</v>
      </c>
      <c r="H35" s="317">
        <f>IF($R35=1,,VLOOKUP($D35,'2-4'!$D$4:$L$103,5))</f>
        <v>1</v>
      </c>
      <c r="I35" s="317">
        <f>IF($R35=1,,VLOOKUP($D35,'2-4'!$D$4:$L$103,6))</f>
        <v>1</v>
      </c>
      <c r="J35" s="225">
        <f>IF($R35=1,,VLOOKUP($D35,'2-4'!$D$4:$L$103,7))</f>
        <v>48000</v>
      </c>
      <c r="K35" s="319" t="str">
        <f t="shared" si="4"/>
        <v>リナックスパソコン一式</v>
      </c>
      <c r="L35" s="320">
        <v>44193</v>
      </c>
      <c r="M35" s="321">
        <f t="shared" si="5"/>
        <v>1</v>
      </c>
      <c r="N35" s="321">
        <f t="shared" si="6"/>
        <v>1</v>
      </c>
      <c r="O35" s="310">
        <f t="shared" si="10"/>
        <v>44193</v>
      </c>
      <c r="P35" s="382">
        <f>IF($R35=1,"",VLOOKUP($D35,'2-4'!$D$4:$L$103,8))</f>
        <v>0</v>
      </c>
      <c r="Q35" s="280">
        <f>IF($R35=1,"",VLOOKUP($D35,'2-4'!$D$4:$L$103,9))</f>
        <v>0</v>
      </c>
      <c r="R35" s="25">
        <f>IF(AND(ISNA(MATCH($D35,'随時②-2'!$D$4:$D$18,0)),ISNA(MATCH($D35,'随時③-2'!$D$4:$D$18,0))),0,1)</f>
        <v>0</v>
      </c>
      <c r="S35" s="63">
        <f t="shared" si="7"/>
      </c>
      <c r="T35" s="63">
        <f t="shared" si="8"/>
      </c>
    </row>
    <row r="36" spans="1:20" ht="30" customHeight="1">
      <c r="A36" s="378">
        <f>'2-4'!A16</f>
        <v>0</v>
      </c>
      <c r="B36" s="379">
        <f>'2-4'!B16</f>
        <v>0</v>
      </c>
      <c r="C36" s="380">
        <f>'2-4'!C16</f>
        <v>0</v>
      </c>
      <c r="D36" s="255">
        <v>313</v>
      </c>
      <c r="E36" s="316" t="str">
        <f>IF($R36=1,"",VLOOKUP($D36,'2-4'!$D$4:$L$103,2))</f>
        <v>消耗需用費</v>
      </c>
      <c r="F36" s="316" t="str">
        <f>IF($R36=1,"取消し",VLOOKUP($D36,'2-4'!$D$4:$L$103,3))</f>
        <v>デスクトップパソコン</v>
      </c>
      <c r="G36" s="225">
        <f>IF($R36=1,,VLOOKUP($D36,'2-4'!$D$4:$L$103,4))</f>
        <v>80000</v>
      </c>
      <c r="H36" s="317">
        <f>IF($R36=1,,VLOOKUP($D36,'2-4'!$D$4:$L$103,5))</f>
        <v>2</v>
      </c>
      <c r="I36" s="317">
        <f>IF($R36=1,,VLOOKUP($D36,'2-4'!$D$4:$L$103,6))</f>
        <v>1</v>
      </c>
      <c r="J36" s="225">
        <f>IF($R36=1,,VLOOKUP($D36,'2-4'!$D$4:$L$103,7))</f>
        <v>160000</v>
      </c>
      <c r="K36" s="319" t="str">
        <f t="shared" si="4"/>
        <v>デスクトップパソコン</v>
      </c>
      <c r="L36" s="320">
        <v>54756</v>
      </c>
      <c r="M36" s="321">
        <f t="shared" si="5"/>
        <v>2</v>
      </c>
      <c r="N36" s="321">
        <f t="shared" si="6"/>
        <v>1</v>
      </c>
      <c r="O36" s="310">
        <f t="shared" si="10"/>
        <v>109512</v>
      </c>
      <c r="P36" s="382">
        <f>IF($R36=1,"",VLOOKUP($D36,'2-4'!$D$4:$L$103,8))</f>
        <v>0</v>
      </c>
      <c r="Q36" s="280">
        <f>IF($R36=1,"",VLOOKUP($D36,'2-4'!$D$4:$L$103,9))</f>
        <v>0</v>
      </c>
      <c r="R36" s="25">
        <f>IF(AND(ISNA(MATCH($D36,'随時②-2'!$D$4:$D$18,0)),ISNA(MATCH($D36,'随時③-2'!$D$4:$D$18,0))),0,1)</f>
        <v>0</v>
      </c>
      <c r="S36" s="63">
        <f t="shared" si="7"/>
      </c>
      <c r="T36" s="63">
        <f t="shared" si="8"/>
      </c>
    </row>
    <row r="37" spans="1:20" ht="30" customHeight="1">
      <c r="A37" s="378">
        <f>'2-4'!A17</f>
        <v>4</v>
      </c>
      <c r="B37" s="379" t="str">
        <f>'2-4'!B17</f>
        <v>２－（２）－（２）</v>
      </c>
      <c r="C37" s="380" t="str">
        <f>'2-4'!C17</f>
        <v>確かな学力</v>
      </c>
      <c r="D37" s="255">
        <v>314</v>
      </c>
      <c r="E37" s="316" t="str">
        <f>IF($R37=1,"",VLOOKUP($D37,'2-4'!$D$4:$L$103,2))</f>
        <v>消耗需用費</v>
      </c>
      <c r="F37" s="316" t="str">
        <f>IF($R37=1,"取消し",VLOOKUP($D37,'2-4'!$D$4:$L$103,3))</f>
        <v>イチゴ水耕栽培システム一式</v>
      </c>
      <c r="G37" s="225">
        <f>IF($R37=1,,VLOOKUP($D37,'2-4'!$D$4:$L$103,4))</f>
        <v>43000</v>
      </c>
      <c r="H37" s="317">
        <f>IF($R37=1,,VLOOKUP($D37,'2-4'!$D$4:$L$103,5))</f>
        <v>1</v>
      </c>
      <c r="I37" s="317">
        <f>IF($R37=1,,VLOOKUP($D37,'2-4'!$D$4:$L$103,6))</f>
        <v>1</v>
      </c>
      <c r="J37" s="225">
        <f>IF($R37=1,,VLOOKUP($D37,'2-4'!$D$4:$L$103,7))</f>
        <v>43000</v>
      </c>
      <c r="K37" s="319" t="str">
        <f t="shared" si="4"/>
        <v>イチゴ水耕栽培システム一式</v>
      </c>
      <c r="L37" s="320">
        <v>38215</v>
      </c>
      <c r="M37" s="321">
        <f t="shared" si="5"/>
        <v>1</v>
      </c>
      <c r="N37" s="321">
        <f t="shared" si="6"/>
        <v>1</v>
      </c>
      <c r="O37" s="310">
        <f t="shared" si="10"/>
        <v>38215</v>
      </c>
      <c r="P37" s="382">
        <f>IF($R37=1,"",VLOOKUP($D37,'2-4'!$D$4:$L$103,8))</f>
        <v>0</v>
      </c>
      <c r="Q37" s="280">
        <f>IF($R37=1,"",VLOOKUP($D37,'2-4'!$D$4:$L$103,9))</f>
        <v>0</v>
      </c>
      <c r="R37" s="25">
        <f>IF(AND(ISNA(MATCH($D37,'随時②-2'!$D$4:$D$18,0)),ISNA(MATCH($D37,'随時③-2'!$D$4:$D$18,0))),0,1)</f>
        <v>0</v>
      </c>
      <c r="S37" s="63">
        <f t="shared" si="7"/>
      </c>
      <c r="T37" s="63">
        <f t="shared" si="8"/>
      </c>
    </row>
    <row r="38" spans="1:20" ht="30" customHeight="1">
      <c r="A38" s="378">
        <f>'2-4'!A18</f>
        <v>5</v>
      </c>
      <c r="B38" s="379" t="str">
        <f>'2-4'!B18</f>
        <v>４－（３）－（３）</v>
      </c>
      <c r="C38" s="380" t="str">
        <f>'2-4'!C18</f>
        <v>センター的機能の充実</v>
      </c>
      <c r="D38" s="255">
        <v>315</v>
      </c>
      <c r="E38" s="316" t="str">
        <f>IF($R38=1,"",VLOOKUP($D38,'2-4'!$D$4:$L$103,2))</f>
        <v>消耗需用費</v>
      </c>
      <c r="F38" s="316" t="str">
        <f>IF($R38=1,"取消し",VLOOKUP($D38,'2-4'!$D$4:$L$103,3))</f>
        <v>パソコン・プリンター</v>
      </c>
      <c r="G38" s="225">
        <f>IF($R38=1,,VLOOKUP($D38,'2-4'!$D$4:$L$103,4))</f>
        <v>138380</v>
      </c>
      <c r="H38" s="317">
        <f>IF($R38=1,,VLOOKUP($D38,'2-4'!$D$4:$L$103,5))</f>
        <v>1</v>
      </c>
      <c r="I38" s="317">
        <f>IF($R38=1,,VLOOKUP($D38,'2-4'!$D$4:$L$103,6))</f>
        <v>1</v>
      </c>
      <c r="J38" s="225">
        <f>IF($R38=1,,VLOOKUP($D38,'2-4'!$D$4:$L$103,7))</f>
        <v>138380</v>
      </c>
      <c r="K38" s="319" t="str">
        <f t="shared" si="4"/>
        <v>パソコン・プリンター</v>
      </c>
      <c r="L38" s="320">
        <v>118584</v>
      </c>
      <c r="M38" s="321">
        <f t="shared" si="5"/>
        <v>1</v>
      </c>
      <c r="N38" s="321">
        <f t="shared" si="6"/>
        <v>1</v>
      </c>
      <c r="O38" s="310">
        <f t="shared" si="10"/>
        <v>118584</v>
      </c>
      <c r="P38" s="382">
        <f>IF($R38=1,"",VLOOKUP($D38,'2-4'!$D$4:$L$103,8))</f>
        <v>0</v>
      </c>
      <c r="Q38" s="280">
        <f>IF($R38=1,"",VLOOKUP($D38,'2-4'!$D$4:$L$103,9))</f>
        <v>0</v>
      </c>
      <c r="R38" s="25">
        <f>IF(AND(ISNA(MATCH($D38,'随時②-2'!$D$4:$D$18,0)),ISNA(MATCH($D38,'随時③-2'!$D$4:$D$18,0))),0,1)</f>
        <v>0</v>
      </c>
      <c r="S38" s="63">
        <f t="shared" si="7"/>
      </c>
      <c r="T38" s="63">
        <f t="shared" si="8"/>
      </c>
    </row>
    <row r="39" spans="1:20" ht="30" customHeight="1">
      <c r="A39" s="378">
        <f>'2-4'!A19</f>
        <v>6</v>
      </c>
      <c r="B39" s="379" t="str">
        <f>'2-4'!B19</f>
        <v>１－（１）－（１）</v>
      </c>
      <c r="C39" s="380" t="str">
        <f>'2-4'!C19</f>
        <v>人権教育の推進</v>
      </c>
      <c r="D39" s="255">
        <v>316</v>
      </c>
      <c r="E39" s="316" t="str">
        <f>IF($R39=1,"",VLOOKUP($D39,'2-4'!$D$4:$L$103,2))</f>
        <v>報償費</v>
      </c>
      <c r="F39" s="316" t="str">
        <f>IF($R39=1,"取消し",VLOOKUP($D39,'2-4'!$D$4:$L$103,3))</f>
        <v>人権講演会講師謝礼</v>
      </c>
      <c r="G39" s="225">
        <f>IF($R39=1,,VLOOKUP($D39,'2-4'!$D$4:$L$103,4))</f>
        <v>30000</v>
      </c>
      <c r="H39" s="317">
        <f>IF($R39=1,,VLOOKUP($D39,'2-4'!$D$4:$L$103,5))</f>
        <v>1</v>
      </c>
      <c r="I39" s="317">
        <f>IF($R39=1,,VLOOKUP($D39,'2-4'!$D$4:$L$103,6))</f>
        <v>1</v>
      </c>
      <c r="J39" s="225">
        <f>IF($R39=1,,VLOOKUP($D39,'2-4'!$D$4:$L$103,7))</f>
        <v>30000</v>
      </c>
      <c r="K39" s="319" t="str">
        <f t="shared" si="4"/>
        <v>人権講演会講師謝礼</v>
      </c>
      <c r="L39" s="320">
        <v>30000</v>
      </c>
      <c r="M39" s="321">
        <f t="shared" si="5"/>
        <v>1</v>
      </c>
      <c r="N39" s="321">
        <v>0</v>
      </c>
      <c r="O39" s="310">
        <f t="shared" si="10"/>
        <v>0</v>
      </c>
      <c r="P39" s="382">
        <f>IF($R39=1,"",VLOOKUP($D39,'2-4'!$D$4:$L$103,8))</f>
        <v>0</v>
      </c>
      <c r="Q39" s="280">
        <f>IF($R39=1,"",VLOOKUP($D39,'2-4'!$D$4:$L$103,9))</f>
        <v>0</v>
      </c>
      <c r="R39" s="25">
        <f>IF(AND(ISNA(MATCH($D39,'随時②-2'!$D$4:$D$18,0)),ISNA(MATCH($D39,'随時③-2'!$D$4:$D$18,0))),0,1)</f>
        <v>0</v>
      </c>
      <c r="S39" s="63">
        <f t="shared" si="7"/>
      </c>
      <c r="T39" s="63">
        <f t="shared" si="8"/>
      </c>
    </row>
    <row r="40" spans="1:20" ht="30" customHeight="1">
      <c r="A40" s="378">
        <f>'2-4'!A20</f>
        <v>0</v>
      </c>
      <c r="B40" s="379">
        <f>'2-4'!B20</f>
        <v>0</v>
      </c>
      <c r="C40" s="380">
        <f>'2-4'!C20</f>
        <v>0</v>
      </c>
      <c r="D40" s="255">
        <v>317</v>
      </c>
      <c r="E40" s="316" t="str">
        <f>IF($R40=1,"",VLOOKUP($D40,'2-4'!$D$4:$L$103,2))</f>
        <v>消耗需用費</v>
      </c>
      <c r="F40" s="316" t="str">
        <f>IF($R40=1,"取消し",VLOOKUP($D40,'2-4'!$D$4:$L$103,3))</f>
        <v>府立人研研修会資料代</v>
      </c>
      <c r="G40" s="225">
        <f>IF($R40=1,,VLOOKUP($D40,'2-4'!$D$4:$L$103,4))</f>
        <v>1000</v>
      </c>
      <c r="H40" s="317">
        <f>IF($R40=1,,VLOOKUP($D40,'2-4'!$D$4:$L$103,5))</f>
        <v>1</v>
      </c>
      <c r="I40" s="317">
        <f>IF($R40=1,,VLOOKUP($D40,'2-4'!$D$4:$L$103,6))</f>
        <v>1</v>
      </c>
      <c r="J40" s="225">
        <f>IF($R40=1,,VLOOKUP($D40,'2-4'!$D$4:$L$103,7))</f>
        <v>1000</v>
      </c>
      <c r="K40" s="319" t="str">
        <f t="shared" si="4"/>
        <v>府立人研研修会資料代</v>
      </c>
      <c r="L40" s="320">
        <v>1000</v>
      </c>
      <c r="M40" s="321">
        <v>1</v>
      </c>
      <c r="N40" s="321">
        <v>0</v>
      </c>
      <c r="O40" s="310">
        <f t="shared" si="10"/>
        <v>0</v>
      </c>
      <c r="P40" s="382">
        <f>IF($R40=1,"",VLOOKUP($D40,'2-4'!$D$4:$L$103,8))</f>
        <v>0</v>
      </c>
      <c r="Q40" s="280">
        <f>IF($R40=1,"",VLOOKUP($D40,'2-4'!$D$4:$L$103,9))</f>
        <v>0</v>
      </c>
      <c r="R40" s="25">
        <f>IF(AND(ISNA(MATCH($D40,'随時②-2'!$D$4:$D$18,0)),ISNA(MATCH($D40,'随時③-2'!$D$4:$D$18,0))),0,1)</f>
        <v>0</v>
      </c>
      <c r="S40" s="63">
        <f t="shared" si="7"/>
      </c>
      <c r="T40" s="63">
        <f t="shared" si="8"/>
      </c>
    </row>
    <row r="41" spans="1:20" ht="30" customHeight="1" thickBot="1">
      <c r="A41" s="378">
        <f>'2-4'!A21</f>
        <v>1</v>
      </c>
      <c r="B41" s="379" t="str">
        <f>'2-4'!B21</f>
        <v>２－（１）－（１）</v>
      </c>
      <c r="C41" s="380" t="str">
        <f>'2-4'!C21</f>
        <v>キャリア教育の推進</v>
      </c>
      <c r="D41" s="255">
        <v>318</v>
      </c>
      <c r="E41" s="316" t="str">
        <f>IF($R41=1,"",VLOOKUP($D41,'2-4'!$D$4:$L$103,2))</f>
        <v>報償費</v>
      </c>
      <c r="F41" s="316" t="str">
        <f>IF($R41=1,"取消し",VLOOKUP($D41,'2-4'!$D$4:$L$103,3))</f>
        <v>外国語授業講師謝礼</v>
      </c>
      <c r="G41" s="225">
        <f>IF($R41=1,,VLOOKUP($D41,'2-4'!$D$4:$L$103,4))</f>
        <v>8000</v>
      </c>
      <c r="H41" s="317">
        <f>IF($R41=1,,VLOOKUP($D41,'2-4'!$D$4:$L$103,5))</f>
        <v>1</v>
      </c>
      <c r="I41" s="317">
        <f>IF($R41=1,,VLOOKUP($D41,'2-4'!$D$4:$L$103,6))</f>
        <v>1</v>
      </c>
      <c r="J41" s="225">
        <f>IF($R41=1,,VLOOKUP($D41,'2-4'!$D$4:$L$103,7))</f>
        <v>8000</v>
      </c>
      <c r="K41" s="319" t="str">
        <f t="shared" si="4"/>
        <v>外国語授業講師謝礼</v>
      </c>
      <c r="L41" s="320">
        <f t="shared" si="9"/>
        <v>8000</v>
      </c>
      <c r="M41" s="321">
        <f t="shared" si="5"/>
        <v>1</v>
      </c>
      <c r="N41" s="321">
        <f t="shared" si="6"/>
        <v>1</v>
      </c>
      <c r="O41" s="310">
        <f t="shared" si="10"/>
        <v>8000</v>
      </c>
      <c r="P41" s="382">
        <f>IF($R41=1,"",VLOOKUP($D41,'2-4'!$D$4:$L$103,8))</f>
        <v>0</v>
      </c>
      <c r="Q41" s="280">
        <f>IF($R41=1,"",VLOOKUP($D41,'2-4'!$D$4:$L$103,9))</f>
        <v>0</v>
      </c>
      <c r="R41" s="25">
        <f>IF(AND(ISNA(MATCH($D41,'随時②-2'!$D$4:$D$18,0)),ISNA(MATCH($D41,'随時③-2'!$D$4:$D$18,0))),0,1)</f>
        <v>0</v>
      </c>
      <c r="S41" s="63">
        <f t="shared" si="7"/>
      </c>
      <c r="T41" s="63">
        <f t="shared" si="8"/>
      </c>
    </row>
    <row r="42" spans="1:17" ht="13.5">
      <c r="A42" s="51"/>
      <c r="B42" s="51"/>
      <c r="C42" s="51"/>
      <c r="D42" s="73"/>
      <c r="E42" s="64"/>
      <c r="F42" s="64"/>
      <c r="G42" s="49"/>
      <c r="H42" s="65"/>
      <c r="I42" s="65"/>
      <c r="J42" s="52">
        <f>G42*H42*I42</f>
        <v>0</v>
      </c>
      <c r="K42" s="64"/>
      <c r="L42" s="36"/>
      <c r="M42" s="68"/>
      <c r="N42" s="68"/>
      <c r="O42" s="36"/>
      <c r="P42" s="37"/>
      <c r="Q42" s="69"/>
    </row>
    <row r="43" spans="6:10" ht="24" customHeight="1" thickBot="1">
      <c r="F43" s="28"/>
      <c r="G43" s="28"/>
      <c r="I43" s="526" t="s">
        <v>15</v>
      </c>
      <c r="J43" s="526"/>
    </row>
    <row r="44" spans="4:15" ht="24" customHeight="1" thickBot="1">
      <c r="D44" s="5"/>
      <c r="F44" s="24"/>
      <c r="G44" s="24"/>
      <c r="I44" s="540" t="s">
        <v>96</v>
      </c>
      <c r="J44" s="541"/>
      <c r="K44" s="38" t="s">
        <v>191</v>
      </c>
      <c r="L44" s="527" t="s">
        <v>176</v>
      </c>
      <c r="M44" s="528"/>
      <c r="N44" s="529" t="s">
        <v>192</v>
      </c>
      <c r="O44" s="530"/>
    </row>
    <row r="45" spans="4:15" ht="14.25" thickTop="1">
      <c r="D45" s="5"/>
      <c r="I45" s="542" t="s">
        <v>85</v>
      </c>
      <c r="J45" s="543"/>
      <c r="K45" s="349">
        <f aca="true" t="shared" si="11" ref="K45:K53">SUMIF($E$4:$E$41,$I45,$O$4:$O$41)</f>
        <v>351800</v>
      </c>
      <c r="L45" s="536">
        <f aca="true" t="shared" si="12" ref="L45:L52">SUMIF($E$4:$E$41,$I45,$T$4:$T$41)</f>
        <v>0</v>
      </c>
      <c r="M45" s="537">
        <f aca="true" t="shared" si="13" ref="M45:M53">SUMIF($E$4:$E$41,$I45,$O$4:$O$41)</f>
        <v>351800</v>
      </c>
      <c r="N45" s="538">
        <f>K45-L45</f>
        <v>351800</v>
      </c>
      <c r="O45" s="539"/>
    </row>
    <row r="46" spans="4:15" ht="13.5">
      <c r="D46" s="5"/>
      <c r="I46" s="548" t="s">
        <v>86</v>
      </c>
      <c r="J46" s="549"/>
      <c r="K46" s="352">
        <f t="shared" si="11"/>
        <v>122380</v>
      </c>
      <c r="L46" s="544">
        <f t="shared" si="12"/>
        <v>0</v>
      </c>
      <c r="M46" s="545">
        <f t="shared" si="13"/>
        <v>122380</v>
      </c>
      <c r="N46" s="546">
        <f aca="true" t="shared" si="14" ref="N46:N53">K46-L46</f>
        <v>122380</v>
      </c>
      <c r="O46" s="547"/>
    </row>
    <row r="47" spans="4:15" ht="13.5">
      <c r="D47" s="5"/>
      <c r="I47" s="548" t="s">
        <v>125</v>
      </c>
      <c r="J47" s="549"/>
      <c r="K47" s="348">
        <f t="shared" si="11"/>
        <v>363144</v>
      </c>
      <c r="L47" s="544">
        <f t="shared" si="12"/>
        <v>0</v>
      </c>
      <c r="M47" s="545">
        <f t="shared" si="13"/>
        <v>363144</v>
      </c>
      <c r="N47" s="546">
        <f t="shared" si="14"/>
        <v>363144</v>
      </c>
      <c r="O47" s="547"/>
    </row>
    <row r="48" spans="4:15" ht="13.5">
      <c r="D48" s="5"/>
      <c r="I48" s="548" t="s">
        <v>126</v>
      </c>
      <c r="J48" s="549"/>
      <c r="K48" s="348">
        <f t="shared" si="11"/>
        <v>0</v>
      </c>
      <c r="L48" s="544">
        <f t="shared" si="12"/>
        <v>0</v>
      </c>
      <c r="M48" s="545">
        <f t="shared" si="13"/>
        <v>0</v>
      </c>
      <c r="N48" s="546">
        <f t="shared" si="14"/>
        <v>0</v>
      </c>
      <c r="O48" s="547"/>
    </row>
    <row r="49" spans="4:15" ht="13.5">
      <c r="D49" s="5"/>
      <c r="I49" s="548" t="s">
        <v>87</v>
      </c>
      <c r="J49" s="549"/>
      <c r="K49" s="348">
        <f t="shared" si="11"/>
        <v>0</v>
      </c>
      <c r="L49" s="544">
        <f t="shared" si="12"/>
        <v>0</v>
      </c>
      <c r="M49" s="545">
        <f t="shared" si="13"/>
        <v>0</v>
      </c>
      <c r="N49" s="546">
        <f t="shared" si="14"/>
        <v>0</v>
      </c>
      <c r="O49" s="547"/>
    </row>
    <row r="50" spans="4:15" ht="13.5">
      <c r="D50" s="5"/>
      <c r="I50" s="548" t="s">
        <v>88</v>
      </c>
      <c r="J50" s="549"/>
      <c r="K50" s="348">
        <f t="shared" si="11"/>
        <v>0</v>
      </c>
      <c r="L50" s="544">
        <f t="shared" si="12"/>
        <v>0</v>
      </c>
      <c r="M50" s="545">
        <f t="shared" si="13"/>
        <v>0</v>
      </c>
      <c r="N50" s="546">
        <f t="shared" si="14"/>
        <v>0</v>
      </c>
      <c r="O50" s="547"/>
    </row>
    <row r="51" spans="4:15" ht="13.5">
      <c r="D51" s="5"/>
      <c r="I51" s="548" t="s">
        <v>89</v>
      </c>
      <c r="J51" s="549"/>
      <c r="K51" s="348">
        <f t="shared" si="11"/>
        <v>0</v>
      </c>
      <c r="L51" s="544">
        <f t="shared" si="12"/>
        <v>0</v>
      </c>
      <c r="M51" s="545">
        <f t="shared" si="13"/>
        <v>0</v>
      </c>
      <c r="N51" s="546">
        <f t="shared" si="14"/>
        <v>0</v>
      </c>
      <c r="O51" s="547"/>
    </row>
    <row r="52" spans="4:15" ht="13.5">
      <c r="D52" s="5"/>
      <c r="I52" s="548" t="s">
        <v>90</v>
      </c>
      <c r="J52" s="549"/>
      <c r="K52" s="348">
        <f t="shared" si="11"/>
        <v>0</v>
      </c>
      <c r="L52" s="544">
        <f t="shared" si="12"/>
        <v>0</v>
      </c>
      <c r="M52" s="545">
        <f t="shared" si="13"/>
        <v>0</v>
      </c>
      <c r="N52" s="546">
        <f t="shared" si="14"/>
        <v>0</v>
      </c>
      <c r="O52" s="547"/>
    </row>
    <row r="53" spans="4:15" ht="14.25" thickBot="1">
      <c r="D53" s="5"/>
      <c r="I53" s="558" t="s">
        <v>138</v>
      </c>
      <c r="J53" s="559"/>
      <c r="K53" s="348">
        <f t="shared" si="11"/>
        <v>146170</v>
      </c>
      <c r="L53" s="554">
        <f>SUMIF($E$4:$E$41,$I53,$T$4:$T$41)+'3-3'!F27</f>
        <v>3000</v>
      </c>
      <c r="M53" s="555">
        <f t="shared" si="13"/>
        <v>146170</v>
      </c>
      <c r="N53" s="556">
        <f t="shared" si="14"/>
        <v>143170</v>
      </c>
      <c r="O53" s="557"/>
    </row>
    <row r="54" spans="4:15" ht="15" thickBot="1" thickTop="1">
      <c r="D54" s="5"/>
      <c r="I54" s="560" t="s">
        <v>15</v>
      </c>
      <c r="J54" s="561"/>
      <c r="K54" s="355">
        <f>SUM(K45:K53)</f>
        <v>983494</v>
      </c>
      <c r="L54" s="550">
        <f>SUM(L45:L53)</f>
        <v>3000</v>
      </c>
      <c r="M54" s="551"/>
      <c r="N54" s="552">
        <f>SUM(N45:N53)</f>
        <v>980494</v>
      </c>
      <c r="O54" s="553"/>
    </row>
  </sheetData>
  <sheetProtection formatCells="0" selectLockedCells="1"/>
  <mergeCells count="36">
    <mergeCell ref="I52:J52"/>
    <mergeCell ref="L54:M54"/>
    <mergeCell ref="N54:O54"/>
    <mergeCell ref="L52:M52"/>
    <mergeCell ref="N52:O52"/>
    <mergeCell ref="L53:M53"/>
    <mergeCell ref="N53:O53"/>
    <mergeCell ref="I53:J53"/>
    <mergeCell ref="I54:J54"/>
    <mergeCell ref="L50:M50"/>
    <mergeCell ref="N50:O50"/>
    <mergeCell ref="L51:M51"/>
    <mergeCell ref="N51:O51"/>
    <mergeCell ref="I50:J50"/>
    <mergeCell ref="I51:J51"/>
    <mergeCell ref="L48:M48"/>
    <mergeCell ref="N48:O48"/>
    <mergeCell ref="L49:M49"/>
    <mergeCell ref="N49:O49"/>
    <mergeCell ref="I48:J48"/>
    <mergeCell ref="I49:J49"/>
    <mergeCell ref="L46:M46"/>
    <mergeCell ref="N46:O46"/>
    <mergeCell ref="L47:M47"/>
    <mergeCell ref="N47:O47"/>
    <mergeCell ref="I46:J46"/>
    <mergeCell ref="I47:J47"/>
    <mergeCell ref="I43:J43"/>
    <mergeCell ref="L44:M44"/>
    <mergeCell ref="N44:O44"/>
    <mergeCell ref="K2:O2"/>
    <mergeCell ref="F2:J2"/>
    <mergeCell ref="L45:M45"/>
    <mergeCell ref="N45:O45"/>
    <mergeCell ref="I44:J44"/>
    <mergeCell ref="I45:J45"/>
  </mergeCells>
  <conditionalFormatting sqref="B2:E2 J42 J4:J23">
    <cfRule type="cellIs" priority="32" dxfId="28" operator="equal" stopIfTrue="1">
      <formula>0</formula>
    </cfRule>
  </conditionalFormatting>
  <conditionalFormatting sqref="K24:O42 O4:O23">
    <cfRule type="cellIs" priority="30" dxfId="16" operator="notEqual" stopIfTrue="1">
      <formula>F4</formula>
    </cfRule>
  </conditionalFormatting>
  <dataValidations count="2">
    <dataValidation type="list" allowBlank="1" showInputMessage="1" showErrorMessage="1" sqref="E42 I45:I53">
      <formula1>"報償費,旅費,消耗需用費,維持需用費,役務費,委託料,使用料及び賃借料,備品購入費,負担金、補助及び交付金"</formula1>
    </dataValidation>
    <dataValidation type="list" allowBlank="1" showInputMessage="1" showErrorMessage="1" sqref="P4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8"/>
  <sheetViews>
    <sheetView showZeros="0" view="pageBreakPreview" zoomScaleSheetLayoutView="100" workbookViewId="0" topLeftCell="A1">
      <pane xSplit="1" ySplit="3" topLeftCell="B9" activePane="bottomRight" state="frozen"/>
      <selection pane="topLeft" activeCell="F29" sqref="F29:J29"/>
      <selection pane="topRight" activeCell="F29" sqref="F29:J29"/>
      <selection pane="bottomLeft" activeCell="F29" sqref="F29:J29"/>
      <selection pane="bottomRight" activeCell="A21" sqref="A21:F2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265</v>
      </c>
      <c r="B1" s="562"/>
      <c r="C1" s="562"/>
      <c r="D1" s="562"/>
      <c r="E1" s="562"/>
      <c r="F1" s="562"/>
    </row>
    <row r="2" spans="1:6" ht="15" customHeight="1" thickBot="1">
      <c r="A2" s="8"/>
      <c r="B2" s="7" t="s">
        <v>244</v>
      </c>
      <c r="C2" s="87"/>
      <c r="E2" s="72" t="s">
        <v>220</v>
      </c>
      <c r="F2" s="185">
        <f>SUM(E4:E24)</f>
        <v>146170</v>
      </c>
    </row>
    <row r="3" spans="1:6" ht="15" customHeight="1" thickBot="1">
      <c r="A3" s="99" t="s">
        <v>17</v>
      </c>
      <c r="B3" s="100" t="s">
        <v>204</v>
      </c>
      <c r="C3" s="100" t="s">
        <v>205</v>
      </c>
      <c r="D3" s="98" t="s">
        <v>18</v>
      </c>
      <c r="E3" s="41" t="s">
        <v>221</v>
      </c>
      <c r="F3" s="101" t="s">
        <v>19</v>
      </c>
    </row>
    <row r="4" spans="1:6" ht="15" customHeight="1">
      <c r="A4" s="104">
        <v>14</v>
      </c>
      <c r="B4" s="127" t="str">
        <f>IF('1-3'!B17="","",'1-3'!B17)</f>
        <v>全国</v>
      </c>
      <c r="C4" s="127" t="str">
        <f>IF('1-3'!C17="","",'1-3'!C17)</f>
        <v>校長</v>
      </c>
      <c r="D4" s="143" t="str">
        <f>IF('1-3'!D17="","",'1-3'!D17)</f>
        <v>全国特別支援学校長会</v>
      </c>
      <c r="E4" s="210">
        <f>IF('2-3'!H18="",'2-3'!E18,'2-3'!H18)</f>
        <v>8000</v>
      </c>
      <c r="F4" s="83">
        <f>IF('2-3'!I18="",'2-3'!G18,'2-3'!I18)</f>
      </c>
    </row>
    <row r="5" spans="1:6" ht="15" customHeight="1">
      <c r="A5" s="104">
        <v>16</v>
      </c>
      <c r="B5" s="127" t="str">
        <f>IF('1-3'!B19="","",'1-3'!B19)</f>
        <v>全国</v>
      </c>
      <c r="C5" s="127" t="str">
        <f>IF('1-3'!C19="","",'1-3'!C19)</f>
        <v>校長</v>
      </c>
      <c r="D5" s="143" t="str">
        <f>IF('1-3'!D19="","",'1-3'!D19)</f>
        <v>全国聾学校長会（全聾長）</v>
      </c>
      <c r="E5" s="210">
        <f>IF('2-3'!H20="",'2-3'!E20,'2-3'!H20)</f>
        <v>18000</v>
      </c>
      <c r="F5" s="83">
        <f>IF('2-3'!I20="",'2-3'!G20,'2-3'!I20)</f>
      </c>
    </row>
    <row r="6" spans="1:6" ht="15" customHeight="1">
      <c r="A6" s="104">
        <v>24</v>
      </c>
      <c r="B6" s="127" t="str">
        <f>IF('1-3'!B27="","",'1-3'!B27)</f>
        <v>全国</v>
      </c>
      <c r="C6" s="127" t="str">
        <f>IF('1-3'!C27="","",'1-3'!C27)</f>
        <v>教頭</v>
      </c>
      <c r="D6" s="143" t="str">
        <f>IF('1-3'!D27="","",'1-3'!D27)</f>
        <v>全国聾学校教頭会（全聾頭）</v>
      </c>
      <c r="E6" s="210">
        <f>IF('2-3'!H28="",'2-3'!E28,'2-3'!H28)</f>
        <v>4000</v>
      </c>
      <c r="F6" s="83">
        <f>IF('2-3'!I28="",'2-3'!G28,'2-3'!I28)</f>
      </c>
    </row>
    <row r="7" spans="1:6" ht="15" customHeight="1">
      <c r="A7" s="104">
        <v>28</v>
      </c>
      <c r="B7" s="127" t="str">
        <f>IF('1-3'!B31="","",'1-3'!B31)</f>
        <v>全国</v>
      </c>
      <c r="C7" s="138" t="str">
        <f>IF('1-3'!C31="","",'1-3'!C31)</f>
        <v>事務長</v>
      </c>
      <c r="D7" s="142"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51</v>
      </c>
      <c r="B9" s="127" t="str">
        <f>IF('1-3'!B54="","",'1-3'!B54)</f>
        <v>近畿・西日本</v>
      </c>
      <c r="C9" s="127" t="str">
        <f>IF('1-3'!C54="","",'1-3'!C54)</f>
        <v>校長</v>
      </c>
      <c r="D9" s="143" t="str">
        <f>IF('1-3'!D54="","",'1-3'!D54)</f>
        <v>近畿地区聾学校長会（近聾長）</v>
      </c>
      <c r="E9" s="210">
        <f>IF('2-3'!H55="",'2-3'!E55,'2-3'!H55)</f>
        <v>5000</v>
      </c>
      <c r="F9" s="83">
        <f>IF('2-3'!I55="",'2-3'!G55,'2-3'!I55)</f>
      </c>
    </row>
    <row r="10" spans="1:6" ht="15" customHeight="1">
      <c r="A10" s="104">
        <v>56</v>
      </c>
      <c r="B10" s="127" t="str">
        <f>IF('1-3'!B59="","",'1-3'!B59)</f>
        <v>近畿・西日本</v>
      </c>
      <c r="C10" s="127" t="str">
        <f>IF('1-3'!C59="","",'1-3'!C59)</f>
        <v>教頭</v>
      </c>
      <c r="D10" s="143" t="str">
        <f>IF('1-3'!D59="","",'1-3'!D59)</f>
        <v>近畿地区聾学校教頭会（近聾頭）</v>
      </c>
      <c r="E10" s="210">
        <f>IF('2-3'!H60="",'2-3'!E60,'2-3'!H60)</f>
        <v>4000</v>
      </c>
      <c r="F10" s="83">
        <f>IF('2-3'!I60="",'2-3'!G60,'2-3'!I60)</f>
      </c>
    </row>
    <row r="11" spans="1:6" ht="15" customHeight="1">
      <c r="A11" s="104">
        <v>60</v>
      </c>
      <c r="B11" s="127" t="str">
        <f>IF('1-3'!B63="","",'1-3'!B63)</f>
        <v>近畿・西日本</v>
      </c>
      <c r="C11" s="172" t="str">
        <f>IF('1-3'!C63="","",'1-3'!C63)</f>
        <v>事務長</v>
      </c>
      <c r="D11" s="180" t="str">
        <f>IF('1-3'!D63="","",'1-3'!D63)</f>
        <v>近畿公立学校事務長会</v>
      </c>
      <c r="E11" s="210">
        <f>IF('2-3'!H64="",'2-3'!E64,'2-3'!H64)</f>
        <v>1800</v>
      </c>
      <c r="F11" s="83">
        <f>IF('2-3'!I64="",'2-3'!G64,'2-3'!I64)</f>
      </c>
    </row>
    <row r="12" spans="1:6" ht="15" customHeight="1">
      <c r="A12" s="104">
        <v>61</v>
      </c>
      <c r="B12" s="127" t="str">
        <f>IF('1-3'!B64="","",'1-3'!B64)</f>
        <v>近畿・西日本</v>
      </c>
      <c r="C12" s="135" t="str">
        <f>IF('1-3'!C64="","",'1-3'!C64)</f>
        <v>事務長</v>
      </c>
      <c r="D12" s="141" t="str">
        <f>IF('1-3'!D64="","",'1-3'!D64)</f>
        <v>近畿地区特別支援学校事務長会</v>
      </c>
      <c r="E12" s="211">
        <f>IF('2-3'!H65="",'2-3'!E65,'2-3'!H65)</f>
        <v>2500</v>
      </c>
      <c r="F12" s="137">
        <f>IF('2-3'!I65="",'2-3'!G65,'2-3'!I65)</f>
      </c>
    </row>
    <row r="13" spans="1:6" ht="15" customHeight="1">
      <c r="A13" s="104">
        <v>69</v>
      </c>
      <c r="B13" s="127" t="str">
        <f>IF('1-3'!B72="","",'1-3'!B72)</f>
        <v>近畿・西日本</v>
      </c>
      <c r="C13" s="127">
        <f>IF('1-3'!C72="","",'1-3'!C72)</f>
      </c>
      <c r="D13" s="143" t="str">
        <f>IF('1-3'!D72="","",'1-3'!D72)</f>
        <v>近畿聾教育研究会</v>
      </c>
      <c r="E13" s="210">
        <f>IF('2-3'!H73="",'2-3'!E73,'2-3'!H73)</f>
        <v>60000</v>
      </c>
      <c r="F13" s="83">
        <f>IF('2-3'!I73="",'2-3'!G73,'2-3'!I73)</f>
      </c>
    </row>
    <row r="14" spans="1:6" ht="15" customHeight="1">
      <c r="A14" s="104">
        <v>79</v>
      </c>
      <c r="B14" s="127" t="str">
        <f>IF('1-3'!B82="","",'1-3'!B82)</f>
        <v>大阪</v>
      </c>
      <c r="C14" s="177" t="str">
        <f>IF('1-3'!C82="","",'1-3'!C82)</f>
        <v>事務長</v>
      </c>
      <c r="D14" s="181" t="str">
        <f>IF('1-3'!D82="","",'1-3'!D82)</f>
        <v>大阪府立学校事務長会</v>
      </c>
      <c r="E14" s="215">
        <f>IF('2-3'!H83="",'2-3'!E83,'2-3'!H83)</f>
        <v>1000</v>
      </c>
      <c r="F14" s="179">
        <f>IF('2-3'!I83="",'2-3'!G83,'2-3'!I83)</f>
      </c>
    </row>
    <row r="15" spans="1:6" ht="15" customHeight="1">
      <c r="A15" s="104">
        <v>87</v>
      </c>
      <c r="B15" s="127" t="str">
        <f>IF('1-3'!B90="","",'1-3'!B90)</f>
        <v>大阪</v>
      </c>
      <c r="C15" s="127">
        <f>IF('1-3'!C90="","",'1-3'!C90)</f>
      </c>
      <c r="D15" s="143" t="str">
        <f>IF('1-3'!D90="","",'1-3'!D90)</f>
        <v>大阪府支援教育研究会</v>
      </c>
      <c r="E15" s="210">
        <f>IF('2-3'!H91="",'2-3'!E91,'2-3'!H91)</f>
        <v>1700</v>
      </c>
      <c r="F15" s="83">
        <f>IF('2-3'!I91="",'2-3'!G91,'2-3'!I91)</f>
      </c>
    </row>
    <row r="16" spans="1:6" ht="15" customHeight="1">
      <c r="A16" s="104">
        <v>91</v>
      </c>
      <c r="B16" s="127" t="str">
        <f>IF('1-3'!B94="","",'1-3'!B94)</f>
        <v>大阪</v>
      </c>
      <c r="C16" s="127">
        <f>IF('1-3'!C94="","",'1-3'!C94)</f>
      </c>
      <c r="D16" s="143" t="str">
        <f>IF('1-3'!D94="","",'1-3'!D94)</f>
        <v>大阪府立学校人権教育研究会</v>
      </c>
      <c r="E16" s="210">
        <f>IF('2-3'!H95="",'2-3'!E95,'2-3'!H95)</f>
        <v>2120</v>
      </c>
      <c r="F16" s="83">
        <f>IF('2-3'!I95="",'2-3'!G95,'2-3'!I95)</f>
      </c>
    </row>
    <row r="17" spans="1:6" ht="15" customHeight="1">
      <c r="A17" s="104">
        <v>93</v>
      </c>
      <c r="B17" s="127" t="str">
        <f>IF('1-3'!B96="","",'1-3'!B96)</f>
        <v>大阪</v>
      </c>
      <c r="C17" s="127">
        <f>IF('1-3'!C96="","",'1-3'!C96)</f>
      </c>
      <c r="D17" s="143" t="str">
        <f>IF('1-3'!D96="","",'1-3'!D96)</f>
        <v>大阪府立高等学校保健研究会</v>
      </c>
      <c r="E17" s="210">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10">
        <f>IF('2-3'!H98="",'2-3'!E98,'2-3'!H98)</f>
        <v>5000</v>
      </c>
      <c r="F18" s="83">
        <f>IF('2-3'!I98="",'2-3'!G98,'2-3'!I98)</f>
      </c>
    </row>
    <row r="19" spans="1:6" ht="15" customHeight="1">
      <c r="A19" s="104">
        <v>96</v>
      </c>
      <c r="B19" s="127" t="str">
        <f>IF('1-3'!B99="","",'1-3'!B99)</f>
        <v>大阪</v>
      </c>
      <c r="C19" s="127">
        <f>IF('1-3'!C99="","",'1-3'!C99)</f>
      </c>
      <c r="D19" s="143" t="str">
        <f>IF('1-3'!D99="","",'1-3'!D99)</f>
        <v>大阪府高等学校図書館研究会</v>
      </c>
      <c r="E19" s="210">
        <f>IF('2-3'!H100="",'2-3'!E100,'2-3'!H100)</f>
        <v>2000</v>
      </c>
      <c r="F19" s="83">
        <f>IF('2-3'!I100="",'2-3'!G100,'2-3'!I100)</f>
      </c>
    </row>
    <row r="20" spans="1:6" ht="15" customHeight="1" thickBot="1">
      <c r="A20" s="104">
        <v>98</v>
      </c>
      <c r="B20" s="127" t="str">
        <f>IF('1-3'!B101="","",'1-3'!B101)</f>
        <v>大阪</v>
      </c>
      <c r="C20" s="127">
        <f>IF('1-3'!C101="","",'1-3'!C101)</f>
      </c>
      <c r="D20" s="143" t="str">
        <f>IF('1-3'!D101="","",'1-3'!D101)</f>
        <v>大阪府立支援学校栄養教諭研究会</v>
      </c>
      <c r="E20" s="210">
        <f>IF('2-3'!H102="",'2-3'!E102,'2-3'!H102)</f>
        <v>2000</v>
      </c>
      <c r="F20" s="83">
        <f>IF('2-3'!I102="",'2-3'!G102,'2-3'!I102)</f>
      </c>
    </row>
    <row r="21" spans="1:6" ht="15" customHeight="1">
      <c r="A21" s="109">
        <v>101</v>
      </c>
      <c r="B21" s="153">
        <f>IF('2-3'!B105="","",'2-3'!B105)</f>
      </c>
      <c r="C21" s="153">
        <f>IF('2-3'!C105="","",'2-3'!C105)</f>
      </c>
      <c r="D21" s="131" t="str">
        <f>IF('2-3'!D105="","",'2-3'!D105)</f>
        <v>大阪府聴覚障がい研究会</v>
      </c>
      <c r="E21" s="216">
        <f>IF('2-3'!H105="",'2-3'!E105,'2-3'!H105)</f>
        <v>2000</v>
      </c>
      <c r="F21" s="128">
        <f>IF('2-3'!I105="",'2-3'!G105,'2-3'!I105)</f>
      </c>
    </row>
    <row r="22" spans="1:6" ht="15" customHeight="1">
      <c r="A22" s="102">
        <v>102</v>
      </c>
      <c r="B22" s="154">
        <f>IF('2-3'!B106="","",'2-3'!B106)</f>
      </c>
      <c r="C22" s="154">
        <f>IF('2-3'!C106="","",'2-3'!C106)</f>
      </c>
      <c r="D22" s="132" t="str">
        <f>IF('2-3'!D106="","",'2-3'!D106)</f>
        <v>全日本聾教育研究大会参加費</v>
      </c>
      <c r="E22" s="210">
        <f>IF('2-3'!H106="",'2-3'!E106,'2-3'!H106)</f>
        <v>6000</v>
      </c>
      <c r="F22" s="83">
        <f>IF('2-3'!I106="",'2-3'!G106,'2-3'!I106)</f>
      </c>
    </row>
    <row r="23" spans="1:6" ht="15" customHeight="1">
      <c r="A23" s="104">
        <v>103</v>
      </c>
      <c r="B23" s="155">
        <f>IF('2-3'!B107="","",'2-3'!B107)</f>
      </c>
      <c r="C23" s="155">
        <f>IF('2-3'!C107="","",'2-3'!C107)</f>
      </c>
      <c r="D23" s="133" t="str">
        <f>IF('2-3'!D107="","",'2-3'!D107)</f>
        <v>全国特別支援学校長研究大会参加費</v>
      </c>
      <c r="E23" s="210">
        <f>IF('2-3'!H107="",'2-3'!E107,'2-3'!H107)</f>
        <v>3000</v>
      </c>
      <c r="F23" s="83">
        <f>IF('2-3'!I107="",'2-3'!G107,'2-3'!I107)</f>
      </c>
    </row>
    <row r="24" spans="1:6" ht="15" customHeight="1" thickBot="1">
      <c r="A24" s="108">
        <v>107</v>
      </c>
      <c r="B24" s="156">
        <f>IF('2-3'!B111="","",'2-3'!B111)</f>
      </c>
      <c r="C24" s="156">
        <f>IF('2-3'!C111="","",'2-3'!C111)</f>
      </c>
      <c r="D24" s="134" t="str">
        <f>IF('2-3'!D111="","",'2-3'!D111)</f>
        <v>専門性向上研修派遣参加費</v>
      </c>
      <c r="E24" s="489">
        <v>9050</v>
      </c>
      <c r="F24" s="490">
        <f>IF('2-3'!I111="",'2-3'!G111,'2-3'!I111)</f>
      </c>
    </row>
    <row r="25" spans="4:6" ht="15" customHeight="1" thickBot="1">
      <c r="D25" s="80"/>
      <c r="E25" s="80"/>
      <c r="F25" s="81"/>
    </row>
    <row r="26" spans="4:6" ht="15" customHeight="1">
      <c r="D26" s="80"/>
      <c r="E26" s="10" t="s">
        <v>220</v>
      </c>
      <c r="F26" s="182">
        <f>SUM(E4:E24)</f>
        <v>146170</v>
      </c>
    </row>
    <row r="27" spans="4:6" ht="15" customHeight="1">
      <c r="D27" s="80"/>
      <c r="E27" s="39" t="s">
        <v>176</v>
      </c>
      <c r="F27" s="183">
        <f>SUMIF($F$4:$F$24,"◎",$E$4:$E$24)</f>
        <v>3000</v>
      </c>
    </row>
    <row r="28" spans="4:6" ht="15" customHeight="1" thickBot="1">
      <c r="D28" s="80"/>
      <c r="E28" s="82" t="s">
        <v>13</v>
      </c>
      <c r="F28" s="184">
        <f>F26-F27</f>
        <v>143170</v>
      </c>
    </row>
  </sheetData>
  <sheetProtection formatCells="0" selectLockedCells="1"/>
  <mergeCells count="1">
    <mergeCell ref="A1:F1"/>
  </mergeCells>
  <conditionalFormatting sqref="E4:F24">
    <cfRule type="cellIs" priority="35" dxfId="14" operator="notEqual" stopIfTrue="1">
      <formula>'3-3'!#REF!</formula>
    </cfRule>
  </conditionalFormatting>
  <dataValidations count="1">
    <dataValidation type="list" allowBlank="1" showInputMessage="1" showErrorMessage="1" sqref="F4:F2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3">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2" t="s">
        <v>272</v>
      </c>
      <c r="I1" s="512"/>
      <c r="J1" s="512"/>
      <c r="K1" s="512"/>
    </row>
    <row r="2" spans="8:11" s="1" customFormat="1" ht="18" customHeight="1">
      <c r="H2" s="512" t="s">
        <v>273</v>
      </c>
      <c r="I2" s="512"/>
      <c r="J2" s="512"/>
      <c r="K2" s="512"/>
    </row>
    <row r="3" s="1" customFormat="1" ht="18" customHeight="1">
      <c r="K3" s="2"/>
    </row>
    <row r="4" spans="8:11" s="1" customFormat="1" ht="18" customHeight="1">
      <c r="H4" s="513" t="s">
        <v>314</v>
      </c>
      <c r="I4" s="513"/>
      <c r="J4" s="513"/>
      <c r="K4" s="513"/>
    </row>
    <row r="5" spans="8:11" s="1" customFormat="1" ht="18" customHeight="1">
      <c r="H5" s="514">
        <v>42856</v>
      </c>
      <c r="I5" s="513"/>
      <c r="J5" s="513"/>
      <c r="K5" s="513"/>
    </row>
    <row r="6" spans="1:11" s="1" customFormat="1" ht="18" customHeight="1">
      <c r="A6" s="3" t="s">
        <v>2</v>
      </c>
      <c r="H6" s="4"/>
      <c r="K6" s="11"/>
    </row>
    <row r="7" spans="1:11" s="1" customFormat="1" ht="18" customHeight="1">
      <c r="A7" s="4"/>
      <c r="H7" s="513" t="s">
        <v>274</v>
      </c>
      <c r="I7" s="513"/>
      <c r="J7" s="513"/>
      <c r="K7" s="513"/>
    </row>
    <row r="8" spans="1:11" s="1" customFormat="1" ht="18" customHeight="1">
      <c r="A8" s="4"/>
      <c r="H8" s="513" t="s">
        <v>337</v>
      </c>
      <c r="I8" s="513"/>
      <c r="J8" s="513"/>
      <c r="K8" s="513"/>
    </row>
    <row r="9" spans="1:11" s="1" customFormat="1" ht="42" customHeight="1">
      <c r="A9" s="4"/>
      <c r="H9" s="2"/>
      <c r="K9" s="46"/>
    </row>
    <row r="10" spans="1:11" ht="24" customHeight="1">
      <c r="A10" s="515" t="s">
        <v>256</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68">
        <v>1190000</v>
      </c>
      <c r="E14" s="569"/>
      <c r="F14" s="570"/>
      <c r="G14" s="571"/>
      <c r="H14" s="572"/>
      <c r="I14" s="572"/>
      <c r="J14" s="572"/>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5">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430400</v>
      </c>
      <c r="C18" s="322">
        <f>'1-2'!G108</f>
        <v>150000</v>
      </c>
      <c r="D18" s="322">
        <f>'1-2'!G109</f>
        <v>69000</v>
      </c>
      <c r="E18" s="322">
        <f>'1-2'!G110</f>
        <v>0</v>
      </c>
      <c r="F18" s="322">
        <f>'1-2'!G111</f>
        <v>0</v>
      </c>
      <c r="G18" s="322">
        <f>'1-2'!G112</f>
        <v>0</v>
      </c>
      <c r="H18" s="322">
        <f>'1-2'!G113</f>
        <v>0</v>
      </c>
      <c r="I18" s="322">
        <f>'1-2'!G114</f>
        <v>0</v>
      </c>
      <c r="J18" s="437">
        <f>'1-2'!G115</f>
        <v>164620</v>
      </c>
      <c r="K18" s="438">
        <f t="shared" si="0"/>
        <v>814020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3000</v>
      </c>
      <c r="K19" s="442">
        <f t="shared" si="0"/>
        <v>3000</v>
      </c>
    </row>
    <row r="20" spans="1:11" ht="58.5" customHeight="1" thickBot="1">
      <c r="A20" s="32" t="s">
        <v>103</v>
      </c>
      <c r="B20" s="443">
        <f>B18-B19</f>
        <v>430400</v>
      </c>
      <c r="C20" s="444">
        <f>C18-C19</f>
        <v>150000</v>
      </c>
      <c r="D20" s="444">
        <f aca="true" t="shared" si="1" ref="D20:J20">D18-D19</f>
        <v>69000</v>
      </c>
      <c r="E20" s="444">
        <f t="shared" si="1"/>
        <v>0</v>
      </c>
      <c r="F20" s="444">
        <f t="shared" si="1"/>
        <v>0</v>
      </c>
      <c r="G20" s="444">
        <f t="shared" si="1"/>
        <v>0</v>
      </c>
      <c r="H20" s="444">
        <f t="shared" si="1"/>
        <v>0</v>
      </c>
      <c r="I20" s="444">
        <f t="shared" si="1"/>
        <v>0</v>
      </c>
      <c r="J20" s="444">
        <f t="shared" si="1"/>
        <v>161620</v>
      </c>
      <c r="K20" s="445">
        <f t="shared" si="0"/>
        <v>811020</v>
      </c>
    </row>
    <row r="21" spans="1:11" ht="58.5" customHeight="1" thickBot="1">
      <c r="A21" s="32" t="s">
        <v>102</v>
      </c>
      <c r="B21" s="443">
        <f>B16+B18</f>
        <v>430400</v>
      </c>
      <c r="C21" s="443">
        <f aca="true" t="shared" si="2" ref="C21:J21">C16+C18</f>
        <v>150000</v>
      </c>
      <c r="D21" s="443">
        <f t="shared" si="2"/>
        <v>69000</v>
      </c>
      <c r="E21" s="443">
        <f t="shared" si="2"/>
        <v>0</v>
      </c>
      <c r="F21" s="443">
        <f t="shared" si="2"/>
        <v>0</v>
      </c>
      <c r="G21" s="443">
        <f t="shared" si="2"/>
        <v>0</v>
      </c>
      <c r="H21" s="443">
        <f t="shared" si="2"/>
        <v>0</v>
      </c>
      <c r="I21" s="443">
        <f t="shared" si="2"/>
        <v>0</v>
      </c>
      <c r="J21" s="443">
        <f t="shared" si="2"/>
        <v>164620</v>
      </c>
      <c r="K21" s="445">
        <f t="shared" si="0"/>
        <v>814020</v>
      </c>
    </row>
    <row r="22" spans="1:11" ht="58.5" customHeight="1">
      <c r="A22" s="30" t="s">
        <v>163</v>
      </c>
      <c r="B22" s="446">
        <v>30000</v>
      </c>
      <c r="C22" s="341"/>
      <c r="D22" s="341">
        <v>345980</v>
      </c>
      <c r="E22" s="341"/>
      <c r="F22" s="341"/>
      <c r="G22" s="341"/>
      <c r="H22" s="341"/>
      <c r="I22" s="341"/>
      <c r="J22" s="447"/>
      <c r="K22" s="435">
        <f t="shared" si="0"/>
        <v>375980</v>
      </c>
    </row>
    <row r="23" spans="1:11" ht="58.5" customHeight="1" thickBot="1">
      <c r="A23" s="22" t="s">
        <v>164</v>
      </c>
      <c r="B23" s="220">
        <f>B21+B22</f>
        <v>460400</v>
      </c>
      <c r="C23" s="221">
        <f>C21+C22</f>
        <v>150000</v>
      </c>
      <c r="D23" s="221">
        <f aca="true" t="shared" si="3" ref="D23:J23">D21+D22</f>
        <v>414980</v>
      </c>
      <c r="E23" s="221">
        <f t="shared" si="3"/>
        <v>0</v>
      </c>
      <c r="F23" s="221">
        <f t="shared" si="3"/>
        <v>0</v>
      </c>
      <c r="G23" s="221">
        <f t="shared" si="3"/>
        <v>0</v>
      </c>
      <c r="H23" s="221">
        <f t="shared" si="3"/>
        <v>0</v>
      </c>
      <c r="I23" s="221">
        <f t="shared" si="3"/>
        <v>0</v>
      </c>
      <c r="J23" s="221">
        <f t="shared" si="3"/>
        <v>164620</v>
      </c>
      <c r="K23" s="223">
        <f t="shared" si="0"/>
        <v>1190000</v>
      </c>
    </row>
    <row r="24" spans="1:11" ht="39" customHeight="1" thickBot="1">
      <c r="A24" s="32" t="s">
        <v>104</v>
      </c>
      <c r="B24" s="563" t="s">
        <v>309</v>
      </c>
      <c r="C24" s="563"/>
      <c r="D24" s="563"/>
      <c r="E24" s="563"/>
      <c r="F24" s="563"/>
      <c r="G24" s="563"/>
      <c r="H24" s="563"/>
      <c r="I24" s="563"/>
      <c r="J24" s="563"/>
      <c r="K24" s="56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3" activePane="bottomLeft" state="frozen"/>
      <selection pane="topLeft" activeCell="C18" sqref="C18"/>
      <selection pane="bottomLeft" activeCell="B5" sqref="B5:B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5" t="s">
        <v>142</v>
      </c>
      <c r="C3" s="60" t="s">
        <v>144</v>
      </c>
      <c r="D3" s="96" t="s">
        <v>146</v>
      </c>
      <c r="E3" s="96" t="s">
        <v>0</v>
      </c>
      <c r="F3" s="96" t="s">
        <v>198</v>
      </c>
      <c r="G3" s="96" t="s">
        <v>91</v>
      </c>
      <c r="H3" s="476" t="s">
        <v>246</v>
      </c>
      <c r="I3" s="96" t="s">
        <v>92</v>
      </c>
      <c r="J3" s="96" t="s">
        <v>93</v>
      </c>
      <c r="K3" s="228" t="s">
        <v>111</v>
      </c>
      <c r="L3" s="296" t="s">
        <v>94</v>
      </c>
      <c r="M3" s="29" t="s">
        <v>99</v>
      </c>
    </row>
    <row r="4" spans="1:13" ht="13.5" customHeight="1">
      <c r="A4" s="241"/>
      <c r="B4" s="242"/>
      <c r="C4" s="243"/>
      <c r="D4" s="244">
        <v>1</v>
      </c>
      <c r="E4" s="245" t="s">
        <v>138</v>
      </c>
      <c r="F4" s="246" t="s">
        <v>225</v>
      </c>
      <c r="G4" s="247">
        <v>164620</v>
      </c>
      <c r="H4" s="248">
        <v>1</v>
      </c>
      <c r="I4" s="248">
        <v>1</v>
      </c>
      <c r="J4" s="249">
        <f>G4*H4*I4</f>
        <v>164620</v>
      </c>
      <c r="K4" s="250"/>
      <c r="L4" s="251" t="s">
        <v>226</v>
      </c>
      <c r="M4" s="29">
        <f aca="true" t="shared" si="0" ref="M4:M67">IF(K4="◎",J4,"")</f>
      </c>
    </row>
    <row r="5" spans="1:13" ht="13.5" customHeight="1">
      <c r="A5" s="578">
        <v>1</v>
      </c>
      <c r="B5" s="575" t="s">
        <v>281</v>
      </c>
      <c r="C5" s="254" t="s">
        <v>282</v>
      </c>
      <c r="D5" s="255">
        <v>2</v>
      </c>
      <c r="E5" s="256" t="s">
        <v>85</v>
      </c>
      <c r="F5" s="257" t="s">
        <v>283</v>
      </c>
      <c r="G5" s="258">
        <v>5000</v>
      </c>
      <c r="H5" s="259">
        <v>1</v>
      </c>
      <c r="I5" s="259">
        <v>1</v>
      </c>
      <c r="J5" s="260">
        <f>G5*H5*I5</f>
        <v>5000</v>
      </c>
      <c r="K5" s="261"/>
      <c r="L5" s="262"/>
      <c r="M5" s="29">
        <f t="shared" si="0"/>
      </c>
    </row>
    <row r="6" spans="1:13" ht="13.5" customHeight="1">
      <c r="A6" s="579"/>
      <c r="B6" s="576"/>
      <c r="C6" s="254" t="s">
        <v>282</v>
      </c>
      <c r="D6" s="255">
        <v>3</v>
      </c>
      <c r="E6" s="256" t="s">
        <v>85</v>
      </c>
      <c r="F6" s="257" t="s">
        <v>284</v>
      </c>
      <c r="G6" s="258">
        <v>15000</v>
      </c>
      <c r="H6" s="259">
        <v>1</v>
      </c>
      <c r="I6" s="259">
        <v>2</v>
      </c>
      <c r="J6" s="260">
        <f aca="true" t="shared" si="1" ref="J6:J69">G6*H6*I6</f>
        <v>30000</v>
      </c>
      <c r="K6" s="261"/>
      <c r="L6" s="262"/>
      <c r="M6" s="29">
        <f t="shared" si="0"/>
      </c>
    </row>
    <row r="7" spans="1:13" ht="13.5" customHeight="1">
      <c r="A7" s="579"/>
      <c r="B7" s="576"/>
      <c r="C7" s="254" t="s">
        <v>282</v>
      </c>
      <c r="D7" s="255">
        <v>4</v>
      </c>
      <c r="E7" s="256" t="s">
        <v>85</v>
      </c>
      <c r="F7" s="257" t="s">
        <v>285</v>
      </c>
      <c r="G7" s="258">
        <v>30000</v>
      </c>
      <c r="H7" s="259">
        <v>1</v>
      </c>
      <c r="I7" s="259">
        <v>1</v>
      </c>
      <c r="J7" s="260">
        <f t="shared" si="1"/>
        <v>30000</v>
      </c>
      <c r="K7" s="261"/>
      <c r="L7" s="262"/>
      <c r="M7" s="29">
        <f t="shared" si="0"/>
      </c>
    </row>
    <row r="8" spans="1:13" ht="13.5" customHeight="1">
      <c r="A8" s="579"/>
      <c r="B8" s="577"/>
      <c r="C8" s="254" t="s">
        <v>282</v>
      </c>
      <c r="D8" s="264">
        <v>5</v>
      </c>
      <c r="E8" s="256" t="s">
        <v>86</v>
      </c>
      <c r="F8" s="257" t="s">
        <v>291</v>
      </c>
      <c r="G8" s="258">
        <v>30000</v>
      </c>
      <c r="H8" s="259">
        <v>1</v>
      </c>
      <c r="I8" s="259">
        <v>2</v>
      </c>
      <c r="J8" s="260">
        <f t="shared" si="1"/>
        <v>60000</v>
      </c>
      <c r="K8" s="261"/>
      <c r="L8" s="262"/>
      <c r="M8" s="29">
        <f t="shared" si="0"/>
      </c>
    </row>
    <row r="9" spans="1:13" ht="13.5" customHeight="1">
      <c r="A9" s="578">
        <v>2</v>
      </c>
      <c r="B9" s="576" t="s">
        <v>350</v>
      </c>
      <c r="C9" s="254" t="s">
        <v>286</v>
      </c>
      <c r="D9" s="255">
        <v>6</v>
      </c>
      <c r="E9" s="256" t="s">
        <v>85</v>
      </c>
      <c r="F9" s="257" t="s">
        <v>287</v>
      </c>
      <c r="G9" s="258">
        <v>13500</v>
      </c>
      <c r="H9" s="259">
        <v>1</v>
      </c>
      <c r="I9" s="259">
        <v>8</v>
      </c>
      <c r="J9" s="260">
        <f t="shared" si="1"/>
        <v>108000</v>
      </c>
      <c r="K9" s="261"/>
      <c r="L9" s="262"/>
      <c r="M9" s="29">
        <f t="shared" si="0"/>
      </c>
    </row>
    <row r="10" spans="1:13" ht="13.5" customHeight="1">
      <c r="A10" s="579"/>
      <c r="B10" s="576"/>
      <c r="C10" s="254" t="s">
        <v>286</v>
      </c>
      <c r="D10" s="255">
        <v>7</v>
      </c>
      <c r="E10" s="256" t="s">
        <v>85</v>
      </c>
      <c r="F10" s="257" t="s">
        <v>288</v>
      </c>
      <c r="G10" s="258">
        <v>30000</v>
      </c>
      <c r="H10" s="259">
        <v>1</v>
      </c>
      <c r="I10" s="259">
        <v>1</v>
      </c>
      <c r="J10" s="260">
        <f t="shared" si="1"/>
        <v>30000</v>
      </c>
      <c r="K10" s="261"/>
      <c r="L10" s="262"/>
      <c r="M10" s="29">
        <f t="shared" si="0"/>
      </c>
    </row>
    <row r="11" spans="1:13" ht="13.5" customHeight="1">
      <c r="A11" s="579"/>
      <c r="B11" s="576"/>
      <c r="C11" s="254" t="s">
        <v>286</v>
      </c>
      <c r="D11" s="264">
        <v>8</v>
      </c>
      <c r="E11" s="256" t="s">
        <v>85</v>
      </c>
      <c r="F11" s="265" t="s">
        <v>289</v>
      </c>
      <c r="G11" s="266">
        <v>5000</v>
      </c>
      <c r="H11" s="267">
        <v>1</v>
      </c>
      <c r="I11" s="267">
        <v>8</v>
      </c>
      <c r="J11" s="260">
        <f t="shared" si="1"/>
        <v>40000</v>
      </c>
      <c r="K11" s="268"/>
      <c r="L11" s="269"/>
      <c r="M11" s="29">
        <f t="shared" si="0"/>
      </c>
    </row>
    <row r="12" spans="1:13" ht="13.5" customHeight="1">
      <c r="A12" s="579"/>
      <c r="B12" s="576"/>
      <c r="C12" s="254" t="s">
        <v>286</v>
      </c>
      <c r="D12" s="264">
        <v>9</v>
      </c>
      <c r="E12" s="256" t="s">
        <v>86</v>
      </c>
      <c r="F12" s="256" t="s">
        <v>290</v>
      </c>
      <c r="G12" s="270">
        <v>45000</v>
      </c>
      <c r="H12" s="271">
        <v>2</v>
      </c>
      <c r="I12" s="271">
        <v>1</v>
      </c>
      <c r="J12" s="260">
        <f t="shared" si="1"/>
        <v>90000</v>
      </c>
      <c r="K12" s="272"/>
      <c r="L12" s="273"/>
      <c r="M12" s="29">
        <f t="shared" si="0"/>
      </c>
    </row>
    <row r="13" spans="1:13" ht="13.5" customHeight="1">
      <c r="A13" s="579"/>
      <c r="B13" s="576"/>
      <c r="C13" s="254" t="s">
        <v>286</v>
      </c>
      <c r="D13" s="274">
        <v>10</v>
      </c>
      <c r="E13" s="256" t="s">
        <v>125</v>
      </c>
      <c r="F13" s="256" t="s">
        <v>292</v>
      </c>
      <c r="G13" s="270">
        <v>3000</v>
      </c>
      <c r="H13" s="271">
        <v>1</v>
      </c>
      <c r="I13" s="271">
        <v>1</v>
      </c>
      <c r="J13" s="260">
        <f t="shared" si="1"/>
        <v>3000</v>
      </c>
      <c r="K13" s="261"/>
      <c r="L13" s="262"/>
      <c r="M13" s="29">
        <f t="shared" si="0"/>
      </c>
    </row>
    <row r="14" spans="1:13" ht="13.5" customHeight="1">
      <c r="A14" s="579"/>
      <c r="B14" s="576"/>
      <c r="C14" s="254" t="s">
        <v>286</v>
      </c>
      <c r="D14" s="255">
        <v>11</v>
      </c>
      <c r="E14" s="256" t="s">
        <v>125</v>
      </c>
      <c r="F14" s="257" t="s">
        <v>293</v>
      </c>
      <c r="G14" s="258">
        <v>3000</v>
      </c>
      <c r="H14" s="259">
        <v>1</v>
      </c>
      <c r="I14" s="259">
        <v>1</v>
      </c>
      <c r="J14" s="260">
        <f t="shared" si="1"/>
        <v>3000</v>
      </c>
      <c r="K14" s="275"/>
      <c r="L14" s="262"/>
      <c r="M14" s="29">
        <f t="shared" si="0"/>
      </c>
    </row>
    <row r="15" spans="1:13" ht="13.5" customHeight="1">
      <c r="A15" s="580"/>
      <c r="B15" s="577"/>
      <c r="C15" s="254" t="s">
        <v>286</v>
      </c>
      <c r="D15" s="255">
        <v>12</v>
      </c>
      <c r="E15" s="257" t="s">
        <v>85</v>
      </c>
      <c r="F15" s="276" t="s">
        <v>298</v>
      </c>
      <c r="G15" s="277">
        <v>3000</v>
      </c>
      <c r="H15" s="278">
        <v>1</v>
      </c>
      <c r="I15" s="278">
        <v>7</v>
      </c>
      <c r="J15" s="260">
        <f t="shared" si="1"/>
        <v>21000</v>
      </c>
      <c r="K15" s="279"/>
      <c r="L15" s="280"/>
      <c r="M15" s="29">
        <f t="shared" si="0"/>
      </c>
    </row>
    <row r="16" spans="1:13" ht="13.5" customHeight="1">
      <c r="A16" s="252">
        <v>3</v>
      </c>
      <c r="B16" s="253" t="s">
        <v>354</v>
      </c>
      <c r="C16" s="254" t="s">
        <v>295</v>
      </c>
      <c r="D16" s="255">
        <v>13</v>
      </c>
      <c r="E16" s="276" t="s">
        <v>125</v>
      </c>
      <c r="F16" s="276" t="s">
        <v>296</v>
      </c>
      <c r="G16" s="277">
        <v>60000</v>
      </c>
      <c r="H16" s="278">
        <v>1</v>
      </c>
      <c r="I16" s="278">
        <v>1</v>
      </c>
      <c r="J16" s="260">
        <f t="shared" si="1"/>
        <v>60000</v>
      </c>
      <c r="K16" s="261"/>
      <c r="L16" s="262"/>
      <c r="M16" s="29">
        <f t="shared" si="0"/>
      </c>
    </row>
    <row r="17" spans="1:13" ht="13.5" customHeight="1">
      <c r="A17" s="486">
        <v>4</v>
      </c>
      <c r="B17" s="395" t="s">
        <v>357</v>
      </c>
      <c r="C17" s="254" t="s">
        <v>311</v>
      </c>
      <c r="D17" s="255">
        <v>14</v>
      </c>
      <c r="E17" s="257" t="s">
        <v>85</v>
      </c>
      <c r="F17" s="257" t="s">
        <v>297</v>
      </c>
      <c r="G17" s="258">
        <v>21600</v>
      </c>
      <c r="H17" s="259">
        <v>1</v>
      </c>
      <c r="I17" s="259">
        <v>4</v>
      </c>
      <c r="J17" s="260">
        <f t="shared" si="1"/>
        <v>86400</v>
      </c>
      <c r="K17" s="261"/>
      <c r="L17" s="262"/>
      <c r="M17" s="29">
        <f t="shared" si="0"/>
      </c>
    </row>
    <row r="18" spans="1:13" ht="13.5" customHeight="1">
      <c r="A18" s="252">
        <v>5</v>
      </c>
      <c r="B18" s="487" t="s">
        <v>359</v>
      </c>
      <c r="C18" s="254" t="s">
        <v>312</v>
      </c>
      <c r="D18" s="255">
        <v>15</v>
      </c>
      <c r="E18" s="257" t="s">
        <v>85</v>
      </c>
      <c r="F18" s="257" t="s">
        <v>299</v>
      </c>
      <c r="G18" s="258">
        <v>20000</v>
      </c>
      <c r="H18" s="259">
        <v>1</v>
      </c>
      <c r="I18" s="259">
        <v>1</v>
      </c>
      <c r="J18" s="260">
        <f t="shared" si="1"/>
        <v>20000</v>
      </c>
      <c r="K18" s="261"/>
      <c r="L18" s="262"/>
      <c r="M18" s="29">
        <f t="shared" si="0"/>
      </c>
    </row>
    <row r="19" spans="1:13" ht="13.5" customHeight="1">
      <c r="A19" s="578">
        <v>6</v>
      </c>
      <c r="B19" s="575" t="s">
        <v>300</v>
      </c>
      <c r="C19" s="254" t="s">
        <v>301</v>
      </c>
      <c r="D19" s="255">
        <v>16</v>
      </c>
      <c r="E19" s="257" t="s">
        <v>85</v>
      </c>
      <c r="F19" s="257" t="s">
        <v>302</v>
      </c>
      <c r="G19" s="258">
        <v>10000</v>
      </c>
      <c r="H19" s="259">
        <v>1</v>
      </c>
      <c r="I19" s="259">
        <v>1</v>
      </c>
      <c r="J19" s="260">
        <f t="shared" si="1"/>
        <v>10000</v>
      </c>
      <c r="K19" s="261"/>
      <c r="L19" s="262"/>
      <c r="M19" s="29">
        <f t="shared" si="0"/>
      </c>
    </row>
    <row r="20" spans="1:13" ht="13.5" customHeight="1">
      <c r="A20" s="579"/>
      <c r="B20" s="576"/>
      <c r="C20" s="254" t="s">
        <v>301</v>
      </c>
      <c r="D20" s="255">
        <v>17</v>
      </c>
      <c r="E20" s="256" t="s">
        <v>125</v>
      </c>
      <c r="F20" s="257" t="s">
        <v>303</v>
      </c>
      <c r="G20" s="258">
        <v>2000</v>
      </c>
      <c r="H20" s="259">
        <v>1</v>
      </c>
      <c r="I20" s="259">
        <v>1</v>
      </c>
      <c r="J20" s="260">
        <f t="shared" si="1"/>
        <v>2000</v>
      </c>
      <c r="K20" s="261"/>
      <c r="L20" s="262"/>
      <c r="M20" s="29">
        <f t="shared" si="0"/>
      </c>
    </row>
    <row r="21" spans="1:13" ht="13.5" customHeight="1">
      <c r="A21" s="580"/>
      <c r="B21" s="577"/>
      <c r="C21" s="254" t="s">
        <v>301</v>
      </c>
      <c r="D21" s="255">
        <v>18</v>
      </c>
      <c r="E21" s="256" t="s">
        <v>125</v>
      </c>
      <c r="F21" s="257" t="s">
        <v>304</v>
      </c>
      <c r="G21" s="258">
        <v>1000</v>
      </c>
      <c r="H21" s="259">
        <v>1</v>
      </c>
      <c r="I21" s="259">
        <v>1</v>
      </c>
      <c r="J21" s="260">
        <f t="shared" si="1"/>
        <v>1000</v>
      </c>
      <c r="K21" s="261"/>
      <c r="L21" s="262"/>
      <c r="M21" s="29">
        <f t="shared" si="0"/>
      </c>
    </row>
    <row r="22" spans="1:13" ht="13.5" customHeight="1">
      <c r="A22" s="252">
        <v>7</v>
      </c>
      <c r="B22" s="253" t="s">
        <v>305</v>
      </c>
      <c r="C22" s="488" t="s">
        <v>313</v>
      </c>
      <c r="D22" s="255">
        <v>19</v>
      </c>
      <c r="E22" s="256" t="s">
        <v>85</v>
      </c>
      <c r="F22" s="257" t="s">
        <v>306</v>
      </c>
      <c r="G22" s="258">
        <v>50000</v>
      </c>
      <c r="H22" s="259">
        <v>1</v>
      </c>
      <c r="I22" s="259">
        <v>1</v>
      </c>
      <c r="J22" s="260">
        <f t="shared" si="1"/>
        <v>50000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53"/>
      <c r="C24" s="254"/>
      <c r="D24" s="255">
        <v>21</v>
      </c>
      <c r="E24" s="256"/>
      <c r="F24" s="257"/>
      <c r="G24" s="258"/>
      <c r="H24" s="259"/>
      <c r="I24" s="259"/>
      <c r="J24" s="260">
        <f t="shared" si="1"/>
        <v>0</v>
      </c>
      <c r="K24" s="261"/>
      <c r="L24" s="262"/>
      <c r="M24" s="29">
        <f t="shared" si="0"/>
      </c>
    </row>
    <row r="25" spans="1:13" ht="13.5" customHeight="1">
      <c r="A25" s="252"/>
      <c r="B25" s="253"/>
      <c r="C25" s="254"/>
      <c r="D25" s="255">
        <v>22</v>
      </c>
      <c r="E25" s="256"/>
      <c r="F25" s="257"/>
      <c r="G25" s="258"/>
      <c r="H25" s="259"/>
      <c r="I25" s="259"/>
      <c r="J25" s="260">
        <f t="shared" si="1"/>
        <v>0</v>
      </c>
      <c r="K25" s="261"/>
      <c r="L25" s="262"/>
      <c r="M25" s="29">
        <f t="shared" si="0"/>
      </c>
    </row>
    <row r="26" spans="1:13" ht="13.5" customHeight="1">
      <c r="A26" s="252"/>
      <c r="B26" s="253"/>
      <c r="C26" s="254"/>
      <c r="D26" s="255">
        <v>23</v>
      </c>
      <c r="E26" s="256"/>
      <c r="F26" s="257"/>
      <c r="G26" s="258"/>
      <c r="H26" s="259"/>
      <c r="I26" s="259"/>
      <c r="J26" s="260">
        <f t="shared" si="1"/>
        <v>0</v>
      </c>
      <c r="K26" s="261"/>
      <c r="L26" s="262"/>
      <c r="M26" s="29">
        <f t="shared" si="0"/>
      </c>
    </row>
    <row r="27" spans="1:13" ht="13.5" customHeight="1">
      <c r="A27" s="252"/>
      <c r="B27" s="253"/>
      <c r="C27" s="485"/>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73" t="s">
        <v>176</v>
      </c>
      <c r="I106" s="573"/>
      <c r="J106" s="573" t="s">
        <v>173</v>
      </c>
      <c r="K106" s="583"/>
    </row>
    <row r="107" spans="4:11" ht="14.25" thickTop="1">
      <c r="D107" s="67"/>
      <c r="F107" s="297" t="s">
        <v>85</v>
      </c>
      <c r="G107" s="227">
        <f>SUMIF($E$4:$E$103,F107,$J$4:$J$103)</f>
        <v>430400</v>
      </c>
      <c r="H107" s="574">
        <f>SUMIF($E$4:$E$103,F107,$M$4:$M$103)</f>
        <v>0</v>
      </c>
      <c r="I107" s="574"/>
      <c r="J107" s="574">
        <f aca="true" t="shared" si="5" ref="J107:J115">G107-H107</f>
        <v>430400</v>
      </c>
      <c r="K107" s="584"/>
    </row>
    <row r="108" spans="4:11" ht="13.5">
      <c r="D108" s="67"/>
      <c r="F108" s="298" t="s">
        <v>86</v>
      </c>
      <c r="G108" s="227">
        <f aca="true" t="shared" si="6" ref="G108:G115">SUMIF($E$4:$E$103,F108,$J$4:$J$103)</f>
        <v>150000</v>
      </c>
      <c r="H108" s="581">
        <f aca="true" t="shared" si="7" ref="H108:H114">SUMIF($E$4:$E$103,F108,$M$4:$M$103)</f>
        <v>0</v>
      </c>
      <c r="I108" s="581"/>
      <c r="J108" s="581">
        <f t="shared" si="5"/>
        <v>150000</v>
      </c>
      <c r="K108" s="582"/>
    </row>
    <row r="109" spans="4:11" ht="13.5">
      <c r="D109" s="67"/>
      <c r="F109" s="298" t="s">
        <v>125</v>
      </c>
      <c r="G109" s="227">
        <f t="shared" si="6"/>
        <v>69000</v>
      </c>
      <c r="H109" s="581">
        <f t="shared" si="7"/>
        <v>0</v>
      </c>
      <c r="I109" s="581"/>
      <c r="J109" s="581">
        <f t="shared" si="5"/>
        <v>69000</v>
      </c>
      <c r="K109" s="582"/>
    </row>
    <row r="110" spans="4:11" ht="13.5">
      <c r="D110" s="67"/>
      <c r="F110" s="298" t="s">
        <v>126</v>
      </c>
      <c r="G110" s="227">
        <f t="shared" si="6"/>
        <v>0</v>
      </c>
      <c r="H110" s="581">
        <f t="shared" si="7"/>
        <v>0</v>
      </c>
      <c r="I110" s="581"/>
      <c r="J110" s="581">
        <f t="shared" si="5"/>
        <v>0</v>
      </c>
      <c r="K110" s="582"/>
    </row>
    <row r="111" spans="4:11" ht="13.5">
      <c r="D111" s="67"/>
      <c r="F111" s="298" t="s">
        <v>87</v>
      </c>
      <c r="G111" s="227">
        <f t="shared" si="6"/>
        <v>0</v>
      </c>
      <c r="H111" s="581">
        <f t="shared" si="7"/>
        <v>0</v>
      </c>
      <c r="I111" s="581"/>
      <c r="J111" s="581">
        <f t="shared" si="5"/>
        <v>0</v>
      </c>
      <c r="K111" s="582"/>
    </row>
    <row r="112" spans="4:11" ht="13.5">
      <c r="D112" s="67"/>
      <c r="F112" s="298" t="s">
        <v>88</v>
      </c>
      <c r="G112" s="227">
        <f t="shared" si="6"/>
        <v>0</v>
      </c>
      <c r="H112" s="581">
        <f t="shared" si="7"/>
        <v>0</v>
      </c>
      <c r="I112" s="581"/>
      <c r="J112" s="581">
        <f t="shared" si="5"/>
        <v>0</v>
      </c>
      <c r="K112" s="582"/>
    </row>
    <row r="113" spans="4:11" ht="13.5">
      <c r="D113" s="67"/>
      <c r="F113" s="298" t="s">
        <v>89</v>
      </c>
      <c r="G113" s="227">
        <f t="shared" si="6"/>
        <v>0</v>
      </c>
      <c r="H113" s="581">
        <f t="shared" si="7"/>
        <v>0</v>
      </c>
      <c r="I113" s="581"/>
      <c r="J113" s="581">
        <f t="shared" si="5"/>
        <v>0</v>
      </c>
      <c r="K113" s="582"/>
    </row>
    <row r="114" spans="4:11" ht="13.5">
      <c r="D114" s="67"/>
      <c r="F114" s="298" t="s">
        <v>90</v>
      </c>
      <c r="G114" s="227">
        <f t="shared" si="6"/>
        <v>0</v>
      </c>
      <c r="H114" s="581">
        <f t="shared" si="7"/>
        <v>0</v>
      </c>
      <c r="I114" s="581"/>
      <c r="J114" s="581">
        <f t="shared" si="5"/>
        <v>0</v>
      </c>
      <c r="K114" s="582"/>
    </row>
    <row r="115" spans="4:11" ht="14.25" thickBot="1">
      <c r="D115" s="67"/>
      <c r="F115" s="430" t="s">
        <v>138</v>
      </c>
      <c r="G115" s="431">
        <f t="shared" si="6"/>
        <v>164620</v>
      </c>
      <c r="H115" s="585">
        <f>SUMIF($E$4:$E$103,F115,$M$4:$M$103)+'1-3'!F121</f>
        <v>3000</v>
      </c>
      <c r="I115" s="585"/>
      <c r="J115" s="585">
        <f t="shared" si="5"/>
        <v>161620</v>
      </c>
      <c r="K115" s="586"/>
    </row>
    <row r="116" spans="4:11" ht="15" thickBot="1" thickTop="1">
      <c r="D116" s="47"/>
      <c r="F116" s="428" t="s">
        <v>15</v>
      </c>
      <c r="G116" s="429">
        <f>SUM(G107:G115)</f>
        <v>814020</v>
      </c>
      <c r="H116" s="587">
        <f>SUM(H107:I115)</f>
        <v>3000</v>
      </c>
      <c r="I116" s="587"/>
      <c r="J116" s="587">
        <f>SUM(J107:K115)</f>
        <v>811020</v>
      </c>
      <c r="K116" s="588"/>
    </row>
  </sheetData>
  <sheetProtection formatCells="0" selectLockedCells="1"/>
  <mergeCells count="28">
    <mergeCell ref="J113:K113"/>
    <mergeCell ref="J114:K114"/>
    <mergeCell ref="J115:K115"/>
    <mergeCell ref="J116:K116"/>
    <mergeCell ref="H114:I114"/>
    <mergeCell ref="H115:I115"/>
    <mergeCell ref="H116:I116"/>
    <mergeCell ref="H113:I113"/>
    <mergeCell ref="J106:K106"/>
    <mergeCell ref="J107:K107"/>
    <mergeCell ref="J108:K108"/>
    <mergeCell ref="J109:K109"/>
    <mergeCell ref="J110:K110"/>
    <mergeCell ref="J111:K111"/>
    <mergeCell ref="J112:K112"/>
    <mergeCell ref="H108:I108"/>
    <mergeCell ref="H109:I109"/>
    <mergeCell ref="H110:I110"/>
    <mergeCell ref="H111:I111"/>
    <mergeCell ref="H112:I112"/>
    <mergeCell ref="H106:I106"/>
    <mergeCell ref="H107:I107"/>
    <mergeCell ref="B5:B8"/>
    <mergeCell ref="B9:B15"/>
    <mergeCell ref="A5:A8"/>
    <mergeCell ref="A9:A15"/>
    <mergeCell ref="B19:B21"/>
    <mergeCell ref="A19:A2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58" activePane="bottomLeft" state="frozen"/>
      <selection pane="topLeft" activeCell="B16" sqref="B16:K23"/>
      <selection pane="bottomLeft" activeCell="E111" sqref="E111:E11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258</v>
      </c>
      <c r="B1" s="562"/>
      <c r="C1" s="562"/>
      <c r="D1" s="562"/>
      <c r="E1" s="562"/>
      <c r="F1" s="562"/>
    </row>
    <row r="2" spans="1:6" ht="15" customHeight="1" thickBot="1">
      <c r="A2" s="8"/>
      <c r="B2" s="7" t="s">
        <v>244</v>
      </c>
      <c r="C2" s="87"/>
      <c r="E2" s="72" t="s">
        <v>185</v>
      </c>
      <c r="F2" s="466">
        <f>SUM(E4:E118)</f>
        <v>164620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c r="F4" s="103"/>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v>18000</v>
      </c>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v>4000</v>
      </c>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280</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v>5000</v>
      </c>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v>4000</v>
      </c>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v>62000</v>
      </c>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2000</v>
      </c>
      <c r="F99" s="78"/>
    </row>
    <row r="100" spans="1:6" ht="15" customHeight="1">
      <c r="A100" s="104">
        <v>97</v>
      </c>
      <c r="B100" s="161" t="s">
        <v>216</v>
      </c>
      <c r="C100" s="161"/>
      <c r="D100" s="162" t="s">
        <v>139</v>
      </c>
      <c r="E100" s="187"/>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275</v>
      </c>
      <c r="E104" s="192">
        <v>2000</v>
      </c>
      <c r="F104" s="110"/>
    </row>
    <row r="105" spans="1:6" ht="15" customHeight="1">
      <c r="A105" s="102">
        <v>102</v>
      </c>
      <c r="B105" s="154"/>
      <c r="C105" s="154"/>
      <c r="D105" s="112" t="s">
        <v>276</v>
      </c>
      <c r="E105" s="186">
        <v>8000</v>
      </c>
      <c r="F105" s="103"/>
    </row>
    <row r="106" spans="1:6" ht="15" customHeight="1">
      <c r="A106" s="104">
        <v>103</v>
      </c>
      <c r="B106" s="155"/>
      <c r="C106" s="155"/>
      <c r="D106" s="113" t="s">
        <v>277</v>
      </c>
      <c r="E106" s="187">
        <v>3000</v>
      </c>
      <c r="F106" s="78"/>
    </row>
    <row r="107" spans="1:6" ht="15" customHeight="1">
      <c r="A107" s="102">
        <v>104</v>
      </c>
      <c r="B107" s="155"/>
      <c r="C107" s="155"/>
      <c r="D107" s="113" t="s">
        <v>278</v>
      </c>
      <c r="E107" s="187">
        <v>3000</v>
      </c>
      <c r="F107" s="78"/>
    </row>
    <row r="108" spans="1:6" ht="15" customHeight="1">
      <c r="A108" s="104">
        <v>105</v>
      </c>
      <c r="B108" s="155"/>
      <c r="C108" s="155"/>
      <c r="D108" s="113" t="s">
        <v>279</v>
      </c>
      <c r="E108" s="187">
        <v>2500</v>
      </c>
      <c r="F108" s="78"/>
    </row>
    <row r="109" spans="1:6" ht="15" customHeight="1">
      <c r="A109" s="102">
        <v>106</v>
      </c>
      <c r="B109" s="155"/>
      <c r="C109" s="155"/>
      <c r="D109" s="113" t="s">
        <v>307</v>
      </c>
      <c r="E109" s="187">
        <v>10000</v>
      </c>
      <c r="F109" s="78"/>
    </row>
    <row r="110" spans="1:6" ht="15" customHeight="1">
      <c r="A110" s="104">
        <v>107</v>
      </c>
      <c r="B110" s="155"/>
      <c r="C110" s="155"/>
      <c r="D110" s="113" t="s">
        <v>308</v>
      </c>
      <c r="E110" s="187">
        <v>8000</v>
      </c>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164620</v>
      </c>
    </row>
    <row r="121" spans="4:6" ht="15" customHeight="1">
      <c r="D121" s="80"/>
      <c r="E121" s="39" t="s">
        <v>176</v>
      </c>
      <c r="F121" s="183">
        <f>SUMIF(F4:F118,"◎",E4:E118)</f>
        <v>3000</v>
      </c>
    </row>
    <row r="122" spans="4:6" ht="15" customHeight="1" thickBot="1">
      <c r="D122" s="80"/>
      <c r="E122" s="82" t="s">
        <v>13</v>
      </c>
      <c r="F122" s="184">
        <f>F120-F121</f>
        <v>161620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2" t="s">
        <v>272</v>
      </c>
      <c r="I1" s="512"/>
      <c r="J1" s="512"/>
      <c r="K1" s="512"/>
    </row>
    <row r="2" spans="8:11" s="1" customFormat="1" ht="18" customHeight="1">
      <c r="H2" s="512" t="s">
        <v>273</v>
      </c>
      <c r="I2" s="512"/>
      <c r="J2" s="512"/>
      <c r="K2" s="512"/>
    </row>
    <row r="3" s="1" customFormat="1" ht="18" customHeight="1">
      <c r="K3" s="2"/>
    </row>
    <row r="4" spans="8:11" s="1" customFormat="1" ht="18" customHeight="1">
      <c r="H4" s="513" t="s">
        <v>340</v>
      </c>
      <c r="I4" s="513"/>
      <c r="J4" s="513"/>
      <c r="K4" s="513"/>
    </row>
    <row r="5" spans="8:11" s="1" customFormat="1" ht="18" customHeight="1">
      <c r="H5" s="514">
        <v>42964</v>
      </c>
      <c r="I5" s="513"/>
      <c r="J5" s="513"/>
      <c r="K5" s="513"/>
    </row>
    <row r="6" spans="1:11" s="1" customFormat="1" ht="18" customHeight="1">
      <c r="A6" s="3" t="s">
        <v>2</v>
      </c>
      <c r="H6" s="4"/>
      <c r="K6" s="11"/>
    </row>
    <row r="7" spans="1:11" s="1" customFormat="1" ht="18" customHeight="1">
      <c r="A7" s="4"/>
      <c r="H7" s="513" t="s">
        <v>274</v>
      </c>
      <c r="I7" s="513"/>
      <c r="J7" s="513"/>
      <c r="K7" s="513"/>
    </row>
    <row r="8" spans="1:11" s="1" customFormat="1" ht="18" customHeight="1">
      <c r="A8" s="4"/>
      <c r="H8" s="513" t="s">
        <v>338</v>
      </c>
      <c r="I8" s="513"/>
      <c r="J8" s="513"/>
      <c r="K8" s="513"/>
    </row>
    <row r="9" spans="1:11" s="1" customFormat="1" ht="42" customHeight="1">
      <c r="A9" s="4"/>
      <c r="H9" s="2"/>
      <c r="K9" s="46"/>
    </row>
    <row r="10" spans="1:11" ht="24" customHeight="1">
      <c r="A10" s="515" t="s">
        <v>259</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89">
        <f>'1-1'!D14:F14</f>
        <v>1190000</v>
      </c>
      <c r="E14" s="590"/>
      <c r="F14" s="591"/>
      <c r="G14" s="592"/>
      <c r="H14" s="593"/>
      <c r="I14" s="593"/>
      <c r="J14" s="593"/>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4">
        <f>'随時②-1'!B20</f>
        <v>410400</v>
      </c>
      <c r="C16" s="225">
        <f>'随時②-1'!C20</f>
        <v>170000</v>
      </c>
      <c r="D16" s="225">
        <f>'随時②-1'!D20</f>
        <v>69000</v>
      </c>
      <c r="E16" s="225">
        <f>'随時②-1'!E20</f>
        <v>0</v>
      </c>
      <c r="F16" s="225">
        <f>'随時②-1'!F20</f>
        <v>0</v>
      </c>
      <c r="G16" s="225">
        <f>'随時②-1'!G20</f>
        <v>0</v>
      </c>
      <c r="H16" s="225">
        <f>'随時②-1'!H20</f>
        <v>0</v>
      </c>
      <c r="I16" s="225">
        <f>'随時②-1'!I20</f>
        <v>0</v>
      </c>
      <c r="J16" s="226">
        <f>'随時②-1'!J20</f>
        <v>164620</v>
      </c>
      <c r="K16" s="435">
        <f aca="true" t="shared" si="0" ref="K16:K26">SUM(B16:J16)</f>
        <v>814020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3000</v>
      </c>
      <c r="K17" s="435">
        <f t="shared" si="0"/>
        <v>3000</v>
      </c>
    </row>
    <row r="18" spans="1:11" ht="39" customHeight="1" thickBot="1">
      <c r="A18" s="30" t="s">
        <v>106</v>
      </c>
      <c r="B18" s="224">
        <f>B16-B17</f>
        <v>410400</v>
      </c>
      <c r="C18" s="225">
        <f>C16-C17</f>
        <v>170000</v>
      </c>
      <c r="D18" s="225">
        <f aca="true" t="shared" si="1" ref="D18:J18">D16-D17</f>
        <v>69000</v>
      </c>
      <c r="E18" s="225">
        <f t="shared" si="1"/>
        <v>0</v>
      </c>
      <c r="F18" s="225">
        <f t="shared" si="1"/>
        <v>0</v>
      </c>
      <c r="G18" s="225">
        <f t="shared" si="1"/>
        <v>0</v>
      </c>
      <c r="H18" s="225">
        <f t="shared" si="1"/>
        <v>0</v>
      </c>
      <c r="I18" s="225">
        <f t="shared" si="1"/>
        <v>0</v>
      </c>
      <c r="J18" s="225">
        <f t="shared" si="1"/>
        <v>161620</v>
      </c>
      <c r="K18" s="435">
        <f t="shared" si="0"/>
        <v>811020</v>
      </c>
    </row>
    <row r="19" spans="1:11" ht="39" customHeight="1" thickBot="1">
      <c r="A19" s="32" t="s">
        <v>174</v>
      </c>
      <c r="B19" s="443">
        <f>'2-2'!K142</f>
        <v>140600</v>
      </c>
      <c r="C19" s="444">
        <f>'2-2'!K143</f>
        <v>43460</v>
      </c>
      <c r="D19" s="444">
        <f>'2-2'!K144</f>
        <v>52640</v>
      </c>
      <c r="E19" s="444">
        <f>'2-2'!K145</f>
        <v>0</v>
      </c>
      <c r="F19" s="444">
        <f>'2-2'!K146</f>
        <v>0</v>
      </c>
      <c r="G19" s="444">
        <f>'2-2'!K147</f>
        <v>0</v>
      </c>
      <c r="H19" s="444">
        <f>'2-2'!K148</f>
        <v>0</v>
      </c>
      <c r="I19" s="444">
        <f>'2-2'!K149</f>
        <v>0</v>
      </c>
      <c r="J19" s="448">
        <f>'2-2'!K150</f>
        <v>137120</v>
      </c>
      <c r="K19" s="445">
        <f t="shared" si="0"/>
        <v>373820</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3000</v>
      </c>
      <c r="K20" s="442">
        <f t="shared" si="0"/>
        <v>3000</v>
      </c>
    </row>
    <row r="21" spans="1:11" ht="39" customHeight="1" thickBot="1">
      <c r="A21" s="478" t="s">
        <v>201</v>
      </c>
      <c r="B21" s="436">
        <f>B19-B20</f>
        <v>140600</v>
      </c>
      <c r="C21" s="322">
        <f>C19-C20</f>
        <v>43460</v>
      </c>
      <c r="D21" s="322">
        <f aca="true" t="shared" si="2" ref="D21:J21">D19-D20</f>
        <v>52640</v>
      </c>
      <c r="E21" s="322">
        <f t="shared" si="2"/>
        <v>0</v>
      </c>
      <c r="F21" s="322">
        <f t="shared" si="2"/>
        <v>0</v>
      </c>
      <c r="G21" s="322">
        <f t="shared" si="2"/>
        <v>0</v>
      </c>
      <c r="H21" s="322">
        <f t="shared" si="2"/>
        <v>0</v>
      </c>
      <c r="I21" s="322">
        <f t="shared" si="2"/>
        <v>0</v>
      </c>
      <c r="J21" s="322">
        <f t="shared" si="2"/>
        <v>134120</v>
      </c>
      <c r="K21" s="438">
        <f t="shared" si="0"/>
        <v>370820</v>
      </c>
    </row>
    <row r="22" spans="1:11" ht="39" customHeight="1" thickBot="1">
      <c r="A22" s="32" t="s">
        <v>117</v>
      </c>
      <c r="B22" s="443">
        <f>B18-B21</f>
        <v>269800</v>
      </c>
      <c r="C22" s="443">
        <f aca="true" t="shared" si="3" ref="C22:J22">C18-C21</f>
        <v>126540</v>
      </c>
      <c r="D22" s="443">
        <f t="shared" si="3"/>
        <v>16360</v>
      </c>
      <c r="E22" s="443">
        <f t="shared" si="3"/>
        <v>0</v>
      </c>
      <c r="F22" s="443">
        <f t="shared" si="3"/>
        <v>0</v>
      </c>
      <c r="G22" s="443">
        <f t="shared" si="3"/>
        <v>0</v>
      </c>
      <c r="H22" s="443">
        <f t="shared" si="3"/>
        <v>0</v>
      </c>
      <c r="I22" s="443">
        <f t="shared" si="3"/>
        <v>0</v>
      </c>
      <c r="J22" s="443">
        <f t="shared" si="3"/>
        <v>27500</v>
      </c>
      <c r="K22" s="445">
        <f t="shared" si="0"/>
        <v>440200</v>
      </c>
    </row>
    <row r="23" spans="1:11" ht="39" customHeight="1">
      <c r="A23" s="30" t="s">
        <v>167</v>
      </c>
      <c r="B23" s="225">
        <f>'2-4'!G107</f>
        <v>297800</v>
      </c>
      <c r="C23" s="225">
        <f>'2-4'!G108</f>
        <v>105000</v>
      </c>
      <c r="D23" s="225">
        <f>'2-4'!G109</f>
        <v>390380</v>
      </c>
      <c r="E23" s="225">
        <f>'2-4'!G110</f>
        <v>0</v>
      </c>
      <c r="F23" s="225">
        <f>'2-4'!G111</f>
        <v>0</v>
      </c>
      <c r="G23" s="225">
        <f>'2-4'!G112</f>
        <v>0</v>
      </c>
      <c r="H23" s="225">
        <f>'2-4'!G113</f>
        <v>0</v>
      </c>
      <c r="I23" s="225">
        <f>'2-4'!G114</f>
        <v>0</v>
      </c>
      <c r="J23" s="225">
        <f>'2-4'!G115</f>
        <v>21000</v>
      </c>
      <c r="K23" s="435">
        <f t="shared" si="0"/>
        <v>814180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28000</v>
      </c>
      <c r="C25" s="436">
        <f aca="true" t="shared" si="4" ref="C25:J25">C23-C24-C22</f>
        <v>-21540</v>
      </c>
      <c r="D25" s="436">
        <f t="shared" si="4"/>
        <v>374020</v>
      </c>
      <c r="E25" s="436">
        <f t="shared" si="4"/>
        <v>0</v>
      </c>
      <c r="F25" s="436">
        <f t="shared" si="4"/>
        <v>0</v>
      </c>
      <c r="G25" s="436">
        <f t="shared" si="4"/>
        <v>0</v>
      </c>
      <c r="H25" s="436">
        <f t="shared" si="4"/>
        <v>0</v>
      </c>
      <c r="I25" s="436">
        <f t="shared" si="4"/>
        <v>0</v>
      </c>
      <c r="J25" s="436">
        <f t="shared" si="4"/>
        <v>-6500</v>
      </c>
      <c r="K25" s="438">
        <f t="shared" si="0"/>
        <v>373980</v>
      </c>
    </row>
    <row r="26" spans="1:11" ht="39" customHeight="1" thickBot="1">
      <c r="A26" s="22" t="s">
        <v>118</v>
      </c>
      <c r="B26" s="220">
        <f>B19+B23</f>
        <v>438400</v>
      </c>
      <c r="C26" s="220">
        <f aca="true" t="shared" si="5" ref="C26:J26">C19+C23</f>
        <v>148460</v>
      </c>
      <c r="D26" s="220">
        <f t="shared" si="5"/>
        <v>443020</v>
      </c>
      <c r="E26" s="220">
        <f t="shared" si="5"/>
        <v>0</v>
      </c>
      <c r="F26" s="220">
        <f t="shared" si="5"/>
        <v>0</v>
      </c>
      <c r="G26" s="220">
        <f t="shared" si="5"/>
        <v>0</v>
      </c>
      <c r="H26" s="220">
        <f t="shared" si="5"/>
        <v>0</v>
      </c>
      <c r="I26" s="220">
        <f t="shared" si="5"/>
        <v>0</v>
      </c>
      <c r="J26" s="220">
        <f t="shared" si="5"/>
        <v>158120</v>
      </c>
      <c r="K26" s="223">
        <f t="shared" si="0"/>
        <v>1188000</v>
      </c>
    </row>
    <row r="27" spans="1:11" ht="39" customHeight="1" thickBot="1">
      <c r="A27" s="32" t="s">
        <v>104</v>
      </c>
      <c r="B27" s="563" t="s">
        <v>339</v>
      </c>
      <c r="C27" s="563"/>
      <c r="D27" s="563"/>
      <c r="E27" s="563"/>
      <c r="F27" s="563"/>
      <c r="G27" s="563"/>
      <c r="H27" s="563"/>
      <c r="I27" s="563"/>
      <c r="J27" s="563"/>
      <c r="K27" s="564"/>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L11" sqref="L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1" t="s">
        <v>143</v>
      </c>
      <c r="G2" s="602"/>
      <c r="H2" s="602"/>
      <c r="I2" s="602"/>
      <c r="J2" s="602"/>
      <c r="K2" s="534" t="s">
        <v>115</v>
      </c>
      <c r="L2" s="532"/>
      <c r="M2" s="532"/>
      <c r="N2" s="532"/>
      <c r="O2" s="533"/>
      <c r="P2" s="13"/>
    </row>
    <row r="3" spans="1:21" ht="24" customHeight="1">
      <c r="A3" s="424" t="s">
        <v>141</v>
      </c>
      <c r="B3" s="300"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8" t="s">
        <v>111</v>
      </c>
      <c r="Q3" s="296" t="s">
        <v>107</v>
      </c>
      <c r="R3" s="62" t="s">
        <v>148</v>
      </c>
      <c r="S3" s="61" t="s">
        <v>149</v>
      </c>
      <c r="T3" s="61" t="s">
        <v>150</v>
      </c>
      <c r="U3" s="61" t="s">
        <v>151</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164620</v>
      </c>
      <c r="H4" s="305">
        <f>IF($R4=1,,VLOOKUP($D4,'1-2'!$D$4:$L$103,5))</f>
        <v>1</v>
      </c>
      <c r="I4" s="305">
        <f>IF($R4=1,,VLOOKUP($D4,'1-2'!$D$4:$L$103,6))</f>
        <v>1</v>
      </c>
      <c r="J4" s="306">
        <f>IF($R4=1,,VLOOKUP($D4,'1-2'!$D$4:$L$103,7))</f>
        <v>164620</v>
      </c>
      <c r="K4" s="307" t="str">
        <f aca="true" t="shared" si="0" ref="K4:N5">F4</f>
        <v>各種団体負担金（会費）</v>
      </c>
      <c r="L4" s="308">
        <v>137120</v>
      </c>
      <c r="M4" s="309">
        <f t="shared" si="0"/>
        <v>1</v>
      </c>
      <c r="N4" s="309">
        <f t="shared" si="0"/>
        <v>1</v>
      </c>
      <c r="O4" s="310">
        <f>L4*M4*N4</f>
        <v>137120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２－（１）－（１）</v>
      </c>
      <c r="C5" s="481" t="str">
        <f>'1-2'!C5</f>
        <v>キャリア教育の推進</v>
      </c>
      <c r="D5" s="255">
        <v>2</v>
      </c>
      <c r="E5" s="315" t="str">
        <f>IF($R5=1,"",VLOOKUP($D5,'1-2'!$D$4:$L$103,2))</f>
        <v>報償費</v>
      </c>
      <c r="F5" s="316" t="str">
        <f>IF($R5=1,"取消し",VLOOKUP($D5,'1-2'!$D$4:$L$103,3))</f>
        <v>幼稚部保護者学習会講師謝礼</v>
      </c>
      <c r="G5" s="225">
        <f>IF($R5=1,,VLOOKUP($D5,'1-2'!$D$4:$L$103,4))</f>
        <v>5000</v>
      </c>
      <c r="H5" s="317">
        <f>IF($R5=1,,VLOOKUP($D5,'1-2'!$D$4:$L$103,5))</f>
        <v>1</v>
      </c>
      <c r="I5" s="317">
        <f>IF($R5=1,,VLOOKUP($D5,'1-2'!$D$4:$L$103,6))</f>
        <v>1</v>
      </c>
      <c r="J5" s="318">
        <f>IF($R5=1,,VLOOKUP($D5,'1-2'!$D$4:$L$103,7))</f>
        <v>5000</v>
      </c>
      <c r="K5" s="319" t="str">
        <f t="shared" si="0"/>
        <v>幼稚部保護者学習会講師謝礼</v>
      </c>
      <c r="L5" s="320">
        <v>5000</v>
      </c>
      <c r="M5" s="321">
        <f t="shared" si="0"/>
        <v>1</v>
      </c>
      <c r="N5" s="321">
        <f t="shared" si="0"/>
        <v>1</v>
      </c>
      <c r="O5" s="310">
        <f aca="true" t="shared" si="2" ref="O5:O68">L5*M5*N5</f>
        <v>5000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f>'1-2'!A6</f>
        <v>0</v>
      </c>
      <c r="B6" s="314">
        <f>'1-2'!B6</f>
        <v>0</v>
      </c>
      <c r="C6" s="481" t="str">
        <f>'1-2'!C6</f>
        <v>キャリア教育の推進</v>
      </c>
      <c r="D6" s="255">
        <v>3</v>
      </c>
      <c r="E6" s="315" t="str">
        <f>IF($R6=1,"",VLOOKUP($D6,'1-2'!$D$4:$L$103,2))</f>
        <v>報償費</v>
      </c>
      <c r="F6" s="316" t="str">
        <f>IF($R6=1,"取消し",VLOOKUP($D6,'1-2'!$D$4:$L$103,3))</f>
        <v>小学部外国語授業講師謝礼</v>
      </c>
      <c r="G6" s="225">
        <f>IF($R6=1,,VLOOKUP($D6,'1-2'!$D$4:$L$103,4))</f>
        <v>15000</v>
      </c>
      <c r="H6" s="317">
        <f>IF($R6=1,,VLOOKUP($D6,'1-2'!$D$4:$L$103,5))</f>
        <v>1</v>
      </c>
      <c r="I6" s="317">
        <f>IF($R6=1,,VLOOKUP($D6,'1-2'!$D$4:$L$103,6))</f>
        <v>2</v>
      </c>
      <c r="J6" s="318">
        <f>IF($R6=1,,VLOOKUP($D6,'1-2'!$D$4:$L$103,7))</f>
        <v>30000</v>
      </c>
      <c r="K6" s="319" t="str">
        <f aca="true" t="shared" si="5" ref="K6:K69">F6</f>
        <v>小学部外国語授業講師謝礼</v>
      </c>
      <c r="L6" s="320">
        <v>15000</v>
      </c>
      <c r="M6" s="321">
        <f aca="true" t="shared" si="6" ref="L6:N10">H6</f>
        <v>1</v>
      </c>
      <c r="N6" s="321">
        <v>0</v>
      </c>
      <c r="O6" s="310">
        <f t="shared" si="2"/>
        <v>0</v>
      </c>
      <c r="P6" s="311">
        <f>IF($R6=1,"",VLOOKUP($D6,'1-2'!$D$4:$L$103,8))</f>
        <v>0</v>
      </c>
      <c r="Q6" s="312">
        <f>IF($R6=1,"",VLOOKUP($D6,'1-2'!$D$4:$L$103,9))</f>
        <v>0</v>
      </c>
      <c r="R6" s="25">
        <f>IF(ISNA(MATCH($D6,'随時②-2'!$D$4:$D$18,0)),0,1)</f>
        <v>0</v>
      </c>
      <c r="S6" s="63">
        <f t="shared" si="1"/>
      </c>
      <c r="T6" s="63">
        <f t="shared" si="3"/>
      </c>
      <c r="U6" s="5">
        <f t="shared" si="4"/>
        <v>1</v>
      </c>
      <c r="V6" s="5" t="s">
        <v>153</v>
      </c>
      <c r="W6" s="5">
        <v>4</v>
      </c>
    </row>
    <row r="7" spans="1:23" ht="13.5" customHeight="1">
      <c r="A7" s="313">
        <f>'1-2'!A7</f>
        <v>0</v>
      </c>
      <c r="B7" s="314">
        <f>'1-2'!B7</f>
        <v>0</v>
      </c>
      <c r="C7" s="481" t="str">
        <f>'1-2'!C7</f>
        <v>キャリア教育の推進</v>
      </c>
      <c r="D7" s="255">
        <v>4</v>
      </c>
      <c r="E7" s="315" t="str">
        <f>IF($R7=1,"",VLOOKUP($D7,'1-2'!$D$4:$L$103,2))</f>
        <v>報償費</v>
      </c>
      <c r="F7" s="316" t="str">
        <f>IF($R7=1,"取消し",VLOOKUP($D7,'1-2'!$D$4:$L$103,3))</f>
        <v>キャリア教育推進講演会講師謝礼</v>
      </c>
      <c r="G7" s="225">
        <f>IF($R7=1,,VLOOKUP($D7,'1-2'!$D$4:$L$103,4))</f>
        <v>30000</v>
      </c>
      <c r="H7" s="317">
        <f>IF($R7=1,,VLOOKUP($D7,'1-2'!$D$4:$L$103,5))</f>
        <v>1</v>
      </c>
      <c r="I7" s="317">
        <f>IF($R7=1,,VLOOKUP($D7,'1-2'!$D$4:$L$103,6))</f>
        <v>1</v>
      </c>
      <c r="J7" s="318">
        <f>IF($R7=1,,VLOOKUP($D7,'1-2'!$D$4:$L$103,7))</f>
        <v>30000</v>
      </c>
      <c r="K7" s="319" t="str">
        <f t="shared" si="5"/>
        <v>キャリア教育推進講演会講師謝礼</v>
      </c>
      <c r="L7" s="320">
        <v>30000</v>
      </c>
      <c r="M7" s="321">
        <f t="shared" si="6"/>
        <v>1</v>
      </c>
      <c r="N7" s="321">
        <v>0</v>
      </c>
      <c r="O7" s="310">
        <f t="shared" si="2"/>
        <v>0</v>
      </c>
      <c r="P7" s="311">
        <f>IF($R7=1,"",VLOOKUP($D7,'1-2'!$D$4:$L$103,8))</f>
        <v>0</v>
      </c>
      <c r="Q7" s="312">
        <f>IF($R7=1,"",VLOOKUP($D7,'1-2'!$D$4:$L$103,9))</f>
        <v>0</v>
      </c>
      <c r="R7" s="25">
        <f>IF(ISNA(MATCH($D7,'随時②-2'!$D$4:$D$18,0)),0,1)</f>
        <v>0</v>
      </c>
      <c r="S7" s="63">
        <f t="shared" si="1"/>
      </c>
      <c r="T7" s="63">
        <f t="shared" si="3"/>
      </c>
      <c r="U7" s="5">
        <f t="shared" si="4"/>
        <v>1</v>
      </c>
      <c r="V7" s="5" t="s">
        <v>154</v>
      </c>
      <c r="W7" s="5">
        <v>7</v>
      </c>
    </row>
    <row r="8" spans="1:23" ht="13.5" customHeight="1">
      <c r="A8" s="313">
        <f>'1-2'!A8</f>
        <v>0</v>
      </c>
      <c r="B8" s="314">
        <f>'1-2'!B8</f>
        <v>0</v>
      </c>
      <c r="C8" s="481" t="str">
        <f>'1-2'!C8</f>
        <v>キャリア教育の推進</v>
      </c>
      <c r="D8" s="264">
        <v>5</v>
      </c>
      <c r="E8" s="315" t="str">
        <f>IF($R8=1,"",VLOOKUP($D8,'1-2'!$D$4:$L$103,2))</f>
        <v>旅費</v>
      </c>
      <c r="F8" s="316" t="str">
        <f>IF($R8=1,"取消し",VLOOKUP($D8,'1-2'!$D$4:$L$103,3))</f>
        <v>キャリア教育推進研修派遣旅費</v>
      </c>
      <c r="G8" s="225">
        <f>IF($R8=1,,VLOOKUP($D8,'1-2'!$D$4:$L$103,4))</f>
        <v>30000</v>
      </c>
      <c r="H8" s="317">
        <f>IF($R8=1,,VLOOKUP($D8,'1-2'!$D$4:$L$103,5))</f>
        <v>1</v>
      </c>
      <c r="I8" s="317">
        <f>IF($R8=1,,VLOOKUP($D8,'1-2'!$D$4:$L$103,6))</f>
        <v>2</v>
      </c>
      <c r="J8" s="318">
        <f>IF($R8=1,,VLOOKUP($D8,'1-2'!$D$4:$L$103,7))</f>
        <v>60000</v>
      </c>
      <c r="K8" s="319" t="str">
        <f t="shared" si="5"/>
        <v>キャリア教育推進研修派遣旅費</v>
      </c>
      <c r="L8" s="320">
        <v>30000</v>
      </c>
      <c r="M8" s="321">
        <f t="shared" si="6"/>
        <v>1</v>
      </c>
      <c r="N8" s="321">
        <v>0</v>
      </c>
      <c r="O8" s="310">
        <f t="shared" si="2"/>
        <v>0</v>
      </c>
      <c r="P8" s="311">
        <f>IF($R8=1,"",VLOOKUP($D8,'1-2'!$D$4:$L$103,8))</f>
        <v>0</v>
      </c>
      <c r="Q8" s="312">
        <f>IF($R8=1,"",VLOOKUP($D8,'1-2'!$D$4:$L$103,9))</f>
        <v>0</v>
      </c>
      <c r="R8" s="25">
        <f>IF(ISNA(MATCH($D8,'随時②-2'!$D$4:$D$18,0)),0,1)</f>
        <v>0</v>
      </c>
      <c r="S8" s="63">
        <f t="shared" si="1"/>
      </c>
      <c r="T8" s="63">
        <f t="shared" si="3"/>
      </c>
      <c r="U8" s="5">
        <f t="shared" si="4"/>
        <v>2</v>
      </c>
      <c r="V8" s="5" t="s">
        <v>155</v>
      </c>
      <c r="W8" s="5">
        <v>3</v>
      </c>
    </row>
    <row r="9" spans="1:23" ht="13.5" customHeight="1">
      <c r="A9" s="313">
        <f>'1-2'!A9</f>
        <v>2</v>
      </c>
      <c r="B9" s="314" t="str">
        <f>'1-2'!B9</f>
        <v>3－（１）－（１）</v>
      </c>
      <c r="C9" s="481" t="str">
        <f>'1-2'!C9</f>
        <v>支援教育の専門性向上</v>
      </c>
      <c r="D9" s="255">
        <v>6</v>
      </c>
      <c r="E9" s="315" t="str">
        <f>IF($R9=1,"",VLOOKUP($D9,'1-2'!$D$4:$L$103,2))</f>
        <v>報償費</v>
      </c>
      <c r="F9" s="316" t="str">
        <f>IF($R9=1,"取消し",VLOOKUP($D9,'1-2'!$D$4:$L$103,3))</f>
        <v>臨床心理士指導謝礼</v>
      </c>
      <c r="G9" s="225">
        <f>IF($R9=1,,VLOOKUP($D9,'1-2'!$D$4:$L$103,4))</f>
        <v>13500</v>
      </c>
      <c r="H9" s="317">
        <f>IF($R9=1,,VLOOKUP($D9,'1-2'!$D$4:$L$103,5))</f>
        <v>1</v>
      </c>
      <c r="I9" s="317">
        <f>IF($R9=1,,VLOOKUP($D9,'1-2'!$D$4:$L$103,6))</f>
        <v>8</v>
      </c>
      <c r="J9" s="318">
        <f>IF($R9=1,,VLOOKUP($D9,'1-2'!$D$4:$L$103,7))</f>
        <v>108000</v>
      </c>
      <c r="K9" s="319" t="str">
        <f t="shared" si="5"/>
        <v>臨床心理士指導謝礼</v>
      </c>
      <c r="L9" s="320">
        <v>14000</v>
      </c>
      <c r="M9" s="321">
        <f t="shared" si="6"/>
        <v>1</v>
      </c>
      <c r="N9" s="321">
        <v>1</v>
      </c>
      <c r="O9" s="310">
        <f t="shared" si="2"/>
        <v>14000</v>
      </c>
      <c r="P9" s="311">
        <f>IF($R9=1,"",VLOOKUP($D9,'1-2'!$D$4:$L$103,8))</f>
        <v>0</v>
      </c>
      <c r="Q9" s="312">
        <f>IF($R9=1,"",VLOOKUP($D9,'1-2'!$D$4:$L$103,9))</f>
        <v>0</v>
      </c>
      <c r="R9" s="25">
        <f>IF(ISNA(MATCH($D9,'随時②-2'!$D$4:$D$18,0)),0,1)</f>
        <v>0</v>
      </c>
      <c r="S9" s="63">
        <f t="shared" si="1"/>
      </c>
      <c r="T9" s="63">
        <f t="shared" si="3"/>
      </c>
      <c r="U9" s="5">
        <f t="shared" si="4"/>
        <v>1</v>
      </c>
      <c r="V9" s="5" t="s">
        <v>156</v>
      </c>
      <c r="W9" s="5">
        <v>8</v>
      </c>
    </row>
    <row r="10" spans="1:23" ht="13.5" customHeight="1">
      <c r="A10" s="313">
        <f>'1-2'!A10</f>
        <v>0</v>
      </c>
      <c r="B10" s="314">
        <f>'1-2'!B10</f>
        <v>0</v>
      </c>
      <c r="C10" s="481" t="str">
        <f>'1-2'!C10</f>
        <v>支援教育の専門性向上</v>
      </c>
      <c r="D10" s="255">
        <v>7</v>
      </c>
      <c r="E10" s="315" t="str">
        <f>IF($R10=1,"",VLOOKUP($D10,'1-2'!$D$4:$L$103,2))</f>
        <v>報償費</v>
      </c>
      <c r="F10" s="316" t="str">
        <f>IF($R10=1,"取消し",VLOOKUP($D10,'1-2'!$D$4:$L$103,3))</f>
        <v>全校研究会講師謝礼</v>
      </c>
      <c r="G10" s="225">
        <f>IF($R10=1,,VLOOKUP($D10,'1-2'!$D$4:$L$103,4))</f>
        <v>30000</v>
      </c>
      <c r="H10" s="317">
        <f>IF($R10=1,,VLOOKUP($D10,'1-2'!$D$4:$L$103,5))</f>
        <v>1</v>
      </c>
      <c r="I10" s="317">
        <f>IF($R10=1,,VLOOKUP($D10,'1-2'!$D$4:$L$103,6))</f>
        <v>1</v>
      </c>
      <c r="J10" s="318">
        <f>IF($R10=1,,VLOOKUP($D10,'1-2'!$D$4:$L$103,7))</f>
        <v>30000</v>
      </c>
      <c r="K10" s="319" t="str">
        <f t="shared" si="5"/>
        <v>全校研究会講師謝礼</v>
      </c>
      <c r="L10" s="320">
        <f t="shared" si="6"/>
        <v>30000</v>
      </c>
      <c r="M10" s="321">
        <f t="shared" si="6"/>
        <v>1</v>
      </c>
      <c r="N10" s="321">
        <f t="shared" si="6"/>
        <v>1</v>
      </c>
      <c r="O10" s="310">
        <f t="shared" si="2"/>
        <v>30000</v>
      </c>
      <c r="P10" s="311">
        <f>IF($R10=1,"",VLOOKUP($D10,'1-2'!$D$4:$L$103,8))</f>
        <v>0</v>
      </c>
      <c r="Q10" s="312">
        <f>IF($R10=1,"",VLOOKUP($D10,'1-2'!$D$4:$L$103,9))</f>
        <v>0</v>
      </c>
      <c r="R10" s="25">
        <f>IF(ISNA(MATCH($D10,'随時②-2'!$D$4:$D$18,0)),0,1)</f>
        <v>0</v>
      </c>
      <c r="S10" s="63">
        <f t="shared" si="1"/>
      </c>
      <c r="T10" s="63">
        <f t="shared" si="3"/>
      </c>
      <c r="U10" s="5">
        <f t="shared" si="4"/>
        <v>1</v>
      </c>
      <c r="V10" s="5" t="s">
        <v>160</v>
      </c>
      <c r="W10" s="5">
        <v>9</v>
      </c>
    </row>
    <row r="11" spans="1:23" ht="13.5" customHeight="1">
      <c r="A11" s="313">
        <f>'1-2'!A11</f>
        <v>0</v>
      </c>
      <c r="B11" s="314">
        <f>'1-2'!B11</f>
        <v>0</v>
      </c>
      <c r="C11" s="481" t="str">
        <f>'1-2'!C11</f>
        <v>支援教育の専門性向上</v>
      </c>
      <c r="D11" s="264">
        <v>8</v>
      </c>
      <c r="E11" s="315" t="str">
        <f>IF($R11=1,"",VLOOKUP($D11,'1-2'!$D$4:$L$103,2))</f>
        <v>報償費</v>
      </c>
      <c r="F11" s="316" t="str">
        <f>IF($R11=1,"取消し",VLOOKUP($D11,'1-2'!$D$4:$L$103,3))</f>
        <v>小学部専門性向上研修講師謝礼</v>
      </c>
      <c r="G11" s="225">
        <f>IF($R11=1,,VLOOKUP($D11,'1-2'!$D$4:$L$103,4))</f>
        <v>5000</v>
      </c>
      <c r="H11" s="317">
        <f>IF($R11=1,,VLOOKUP($D11,'1-2'!$D$4:$L$103,5))</f>
        <v>1</v>
      </c>
      <c r="I11" s="317">
        <f>IF($R11=1,,VLOOKUP($D11,'1-2'!$D$4:$L$103,6))</f>
        <v>8</v>
      </c>
      <c r="J11" s="318">
        <f>IF($R11=1,,VLOOKUP($D11,'1-2'!$D$4:$L$103,7))</f>
        <v>40000</v>
      </c>
      <c r="K11" s="319" t="str">
        <f t="shared" si="5"/>
        <v>小学部専門性向上研修講師謝礼</v>
      </c>
      <c r="L11" s="320">
        <v>5000</v>
      </c>
      <c r="M11" s="321">
        <f aca="true" t="shared" si="7" ref="M11:M74">H11</f>
        <v>1</v>
      </c>
      <c r="N11" s="321">
        <v>2</v>
      </c>
      <c r="O11" s="310">
        <f t="shared" si="2"/>
        <v>10000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f>'1-2'!A12</f>
        <v>0</v>
      </c>
      <c r="B12" s="314">
        <f>'1-2'!B12</f>
        <v>0</v>
      </c>
      <c r="C12" s="481" t="str">
        <f>'1-2'!C12</f>
        <v>支援教育の専門性向上</v>
      </c>
      <c r="D12" s="264">
        <v>9</v>
      </c>
      <c r="E12" s="315" t="str">
        <f>IF($R12=1,"",VLOOKUP($D12,'1-2'!$D$4:$L$103,2))</f>
        <v>旅費</v>
      </c>
      <c r="F12" s="316" t="str">
        <f>IF($R12=1,"取消し",VLOOKUP($D12,'1-2'!$D$4:$L$103,3))</f>
        <v>専門性向上研修派遣旅費</v>
      </c>
      <c r="G12" s="225">
        <f>IF($R12=1,,VLOOKUP($D12,'1-2'!$D$4:$L$103,4))</f>
        <v>45000</v>
      </c>
      <c r="H12" s="317">
        <f>IF($R12=1,,VLOOKUP($D12,'1-2'!$D$4:$L$103,5))</f>
        <v>2</v>
      </c>
      <c r="I12" s="317">
        <f>IF($R12=1,,VLOOKUP($D12,'1-2'!$D$4:$L$103,6))</f>
        <v>1</v>
      </c>
      <c r="J12" s="318">
        <f>IF($R12=1,,VLOOKUP($D12,'1-2'!$D$4:$L$103,7))</f>
        <v>90000</v>
      </c>
      <c r="K12" s="319" t="str">
        <f t="shared" si="5"/>
        <v>専門性向上研修派遣旅費</v>
      </c>
      <c r="L12" s="320">
        <v>30620</v>
      </c>
      <c r="M12" s="321">
        <v>1</v>
      </c>
      <c r="N12" s="321">
        <f aca="true" t="shared" si="8" ref="N12:N74">I12</f>
        <v>1</v>
      </c>
      <c r="O12" s="310">
        <f t="shared" si="2"/>
        <v>30620</v>
      </c>
      <c r="P12" s="311">
        <f>IF($R12=1,"",VLOOKUP($D12,'1-2'!$D$4:$L$103,8))</f>
        <v>0</v>
      </c>
      <c r="Q12" s="312">
        <f>IF($R12=1,"",VLOOKUP($D12,'1-2'!$D$4:$L$103,9))</f>
        <v>0</v>
      </c>
      <c r="R12" s="25">
        <f>IF(ISNA(MATCH($D12,'随時②-2'!$D$4:$D$18,0)),0,1)</f>
        <v>0</v>
      </c>
      <c r="S12" s="63">
        <f t="shared" si="1"/>
      </c>
      <c r="T12" s="63">
        <f t="shared" si="3"/>
      </c>
      <c r="U12" s="5">
        <f t="shared" si="4"/>
        <v>2</v>
      </c>
      <c r="V12" s="5" t="s">
        <v>158</v>
      </c>
      <c r="W12" s="5">
        <v>5</v>
      </c>
    </row>
    <row r="13" spans="1:23" ht="13.5" customHeight="1">
      <c r="A13" s="313">
        <f>'1-2'!A13</f>
        <v>0</v>
      </c>
      <c r="B13" s="314">
        <f>'1-2'!B13</f>
        <v>0</v>
      </c>
      <c r="C13" s="481" t="str">
        <f>'1-2'!C13</f>
        <v>支援教育の専門性向上</v>
      </c>
      <c r="D13" s="274">
        <v>10</v>
      </c>
      <c r="E13" s="315" t="str">
        <f>IF($R13=1,"",VLOOKUP($D13,'1-2'!$D$4:$L$103,2))</f>
        <v>消耗需用費</v>
      </c>
      <c r="F13" s="316" t="str">
        <f>IF($R13=1,"取消し",VLOOKUP($D13,'1-2'!$D$4:$L$103,3))</f>
        <v>全国特別支援学校長会研究大会資料代</v>
      </c>
      <c r="G13" s="225">
        <f>IF($R13=1,,VLOOKUP($D13,'1-2'!$D$4:$L$103,4))</f>
        <v>3000</v>
      </c>
      <c r="H13" s="317">
        <f>IF($R13=1,,VLOOKUP($D13,'1-2'!$D$4:$L$103,5))</f>
        <v>1</v>
      </c>
      <c r="I13" s="317">
        <f>IF($R13=1,,VLOOKUP($D13,'1-2'!$D$4:$L$103,6))</f>
        <v>1</v>
      </c>
      <c r="J13" s="318">
        <f>IF($R13=1,,VLOOKUP($D13,'1-2'!$D$4:$L$103,7))</f>
        <v>3000</v>
      </c>
      <c r="K13" s="319" t="str">
        <f t="shared" si="5"/>
        <v>全国特別支援学校長会研究大会資料代</v>
      </c>
      <c r="L13" s="320">
        <f aca="true" t="shared" si="9" ref="L13:L74">G13</f>
        <v>3000</v>
      </c>
      <c r="M13" s="321">
        <f t="shared" si="7"/>
        <v>1</v>
      </c>
      <c r="N13" s="321">
        <f t="shared" si="8"/>
        <v>1</v>
      </c>
      <c r="O13" s="310">
        <f t="shared" si="2"/>
        <v>3000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0</v>
      </c>
      <c r="B14" s="314">
        <f>'1-2'!B14</f>
        <v>0</v>
      </c>
      <c r="C14" s="481" t="str">
        <f>'1-2'!C14</f>
        <v>支援教育の専門性向上</v>
      </c>
      <c r="D14" s="255">
        <v>11</v>
      </c>
      <c r="E14" s="315" t="str">
        <f>IF($R14=1,"",VLOOKUP($D14,'1-2'!$D$4:$L$103,2))</f>
        <v>消耗需用費</v>
      </c>
      <c r="F14" s="316" t="str">
        <f>IF($R14=1,"取消し",VLOOKUP($D14,'1-2'!$D$4:$L$103,3))</f>
        <v>全日本聾教育研究会大会資料代</v>
      </c>
      <c r="G14" s="225">
        <f>IF($R14=1,,VLOOKUP($D14,'1-2'!$D$4:$L$103,4))</f>
        <v>3000</v>
      </c>
      <c r="H14" s="317">
        <f>IF($R14=1,,VLOOKUP($D14,'1-2'!$D$4:$L$103,5))</f>
        <v>1</v>
      </c>
      <c r="I14" s="317">
        <f>IF($R14=1,,VLOOKUP($D14,'1-2'!$D$4:$L$103,6))</f>
        <v>1</v>
      </c>
      <c r="J14" s="318">
        <f>IF($R14=1,,VLOOKUP($D14,'1-2'!$D$4:$L$103,7))</f>
        <v>3000</v>
      </c>
      <c r="K14" s="319" t="str">
        <f t="shared" si="5"/>
        <v>全日本聾教育研究会大会資料代</v>
      </c>
      <c r="L14" s="320">
        <v>2000</v>
      </c>
      <c r="M14" s="321">
        <f t="shared" si="7"/>
        <v>1</v>
      </c>
      <c r="N14" s="321">
        <f t="shared" si="8"/>
        <v>1</v>
      </c>
      <c r="O14" s="310">
        <f t="shared" si="2"/>
        <v>2000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0</v>
      </c>
      <c r="B15" s="314">
        <f>'1-2'!B15</f>
        <v>0</v>
      </c>
      <c r="C15" s="481" t="str">
        <f>'1-2'!C15</f>
        <v>支援教育の専門性向上</v>
      </c>
      <c r="D15" s="255">
        <v>12</v>
      </c>
      <c r="E15" s="315" t="str">
        <f>IF($R15=1,"",VLOOKUP($D15,'1-2'!$D$4:$L$103,2))</f>
        <v>報償費</v>
      </c>
      <c r="F15" s="316" t="str">
        <f>IF($R15=1,"取消し",VLOOKUP($D15,'1-2'!$D$4:$L$103,3))</f>
        <v>臨床心理士カウンセリング謝礼</v>
      </c>
      <c r="G15" s="225">
        <f>IF($R15=1,,VLOOKUP($D15,'1-2'!$D$4:$L$103,4))</f>
        <v>3000</v>
      </c>
      <c r="H15" s="317">
        <f>IF($R15=1,,VLOOKUP($D15,'1-2'!$D$4:$L$103,5))</f>
        <v>1</v>
      </c>
      <c r="I15" s="317">
        <f>IF($R15=1,,VLOOKUP($D15,'1-2'!$D$4:$L$103,6))</f>
        <v>7</v>
      </c>
      <c r="J15" s="318">
        <f>IF($R15=1,,VLOOKUP($D15,'1-2'!$D$4:$L$103,7))</f>
        <v>21000</v>
      </c>
      <c r="K15" s="319" t="str">
        <f t="shared" si="5"/>
        <v>臨床心理士カウンセリング謝礼</v>
      </c>
      <c r="L15" s="320">
        <v>3000</v>
      </c>
      <c r="M15" s="321">
        <f t="shared" si="7"/>
        <v>1</v>
      </c>
      <c r="N15" s="321">
        <v>0</v>
      </c>
      <c r="O15" s="310">
        <f t="shared" si="2"/>
        <v>0</v>
      </c>
      <c r="P15" s="311">
        <f>IF($R15=1,"",VLOOKUP($D15,'1-2'!$D$4:$L$103,8))</f>
        <v>0</v>
      </c>
      <c r="Q15" s="312">
        <f>IF($R15=1,"",VLOOKUP($D15,'1-2'!$D$4:$L$103,9))</f>
        <v>0</v>
      </c>
      <c r="R15" s="25">
        <f>IF(ISNA(MATCH($D15,'随時②-2'!$D$4:$D$18,0)),0,1)</f>
        <v>0</v>
      </c>
      <c r="S15" s="63">
        <f t="shared" si="1"/>
      </c>
      <c r="T15" s="63">
        <f t="shared" si="3"/>
      </c>
      <c r="U15" s="5">
        <f t="shared" si="4"/>
        <v>1</v>
      </c>
    </row>
    <row r="16" spans="1:21" ht="13.5" customHeight="1">
      <c r="A16" s="313">
        <f>'1-2'!A16</f>
        <v>3</v>
      </c>
      <c r="B16" s="314" t="str">
        <f>'1-2'!B16</f>
        <v>３－（２）－（２）</v>
      </c>
      <c r="C16" s="481" t="str">
        <f>'1-2'!C16</f>
        <v>ICT機器の活用</v>
      </c>
      <c r="D16" s="255">
        <v>13</v>
      </c>
      <c r="E16" s="315" t="str">
        <f>IF($R16=1,"",VLOOKUP($D16,'1-2'!$D$4:$L$103,2))</f>
        <v>消耗需用費</v>
      </c>
      <c r="F16" s="316" t="str">
        <f>IF($R16=1,"取消し",VLOOKUP($D16,'1-2'!$D$4:$L$103,3))</f>
        <v>iPad Air2</v>
      </c>
      <c r="G16" s="225">
        <f>IF($R16=1,,VLOOKUP($D16,'1-2'!$D$4:$L$103,4))</f>
        <v>60000</v>
      </c>
      <c r="H16" s="317">
        <f>IF($R16=1,,VLOOKUP($D16,'1-2'!$D$4:$L$103,5))</f>
        <v>1</v>
      </c>
      <c r="I16" s="317">
        <f>IF($R16=1,,VLOOKUP($D16,'1-2'!$D$4:$L$103,6))</f>
        <v>1</v>
      </c>
      <c r="J16" s="318">
        <f>IF($R16=1,,VLOOKUP($D16,'1-2'!$D$4:$L$103,7))</f>
        <v>60000</v>
      </c>
      <c r="K16" s="319" t="str">
        <f t="shared" si="5"/>
        <v>iPad Air2</v>
      </c>
      <c r="L16" s="320">
        <v>45640</v>
      </c>
      <c r="M16" s="321">
        <f t="shared" si="7"/>
        <v>1</v>
      </c>
      <c r="N16" s="321">
        <f t="shared" si="8"/>
        <v>1</v>
      </c>
      <c r="O16" s="310">
        <f t="shared" si="2"/>
        <v>45640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4</v>
      </c>
      <c r="B17" s="314" t="str">
        <f>'1-2'!B17</f>
        <v>４－（３）－（１）</v>
      </c>
      <c r="C17" s="481" t="str">
        <f>'1-2'!C17</f>
        <v>早期教育の支援</v>
      </c>
      <c r="D17" s="255">
        <v>14</v>
      </c>
      <c r="E17" s="315" t="str">
        <f>IF($R17=1,"",VLOOKUP($D17,'1-2'!$D$4:$L$103,2))</f>
        <v>報償費</v>
      </c>
      <c r="F17" s="316" t="str">
        <f>IF($R17=1,"取消し",VLOOKUP($D17,'1-2'!$D$4:$L$103,3))</f>
        <v>幼稚部体育運動講師謝礼</v>
      </c>
      <c r="G17" s="225">
        <f>IF($R17=1,,VLOOKUP($D17,'1-2'!$D$4:$L$103,4))</f>
        <v>21600</v>
      </c>
      <c r="H17" s="317">
        <f>IF($R17=1,,VLOOKUP($D17,'1-2'!$D$4:$L$103,5))</f>
        <v>1</v>
      </c>
      <c r="I17" s="317">
        <f>IF($R17=1,,VLOOKUP($D17,'1-2'!$D$4:$L$103,6))</f>
        <v>4</v>
      </c>
      <c r="J17" s="318">
        <f>IF($R17=1,,VLOOKUP($D17,'1-2'!$D$4:$L$103,7))</f>
        <v>86400</v>
      </c>
      <c r="K17" s="319" t="str">
        <f t="shared" si="5"/>
        <v>幼稚部体育運動講師謝礼</v>
      </c>
      <c r="L17" s="320">
        <f t="shared" si="9"/>
        <v>21600</v>
      </c>
      <c r="M17" s="321">
        <f t="shared" si="7"/>
        <v>1</v>
      </c>
      <c r="N17" s="321">
        <v>1</v>
      </c>
      <c r="O17" s="310">
        <f t="shared" si="2"/>
        <v>21600</v>
      </c>
      <c r="P17" s="311">
        <f>IF($R17=1,"",VLOOKUP($D17,'1-2'!$D$4:$L$103,8))</f>
        <v>0</v>
      </c>
      <c r="Q17" s="312">
        <f>IF($R17=1,"",VLOOKUP($D17,'1-2'!$D$4:$L$103,9))</f>
        <v>0</v>
      </c>
      <c r="R17" s="25">
        <f>IF(ISNA(MATCH($D17,'随時②-2'!$D$4:$D$18,0)),0,1)</f>
        <v>0</v>
      </c>
      <c r="S17" s="63">
        <f t="shared" si="1"/>
      </c>
      <c r="T17" s="63">
        <f t="shared" si="3"/>
      </c>
      <c r="U17" s="5">
        <f t="shared" si="4"/>
        <v>1</v>
      </c>
    </row>
    <row r="18" spans="1:21" ht="13.5" customHeight="1">
      <c r="A18" s="313">
        <f>'1-2'!A18</f>
        <v>5</v>
      </c>
      <c r="B18" s="314" t="str">
        <f>'1-2'!B18</f>
        <v>４－（３）－（３）</v>
      </c>
      <c r="C18" s="481" t="str">
        <f>'1-2'!C18</f>
        <v>地域支援</v>
      </c>
      <c r="D18" s="255">
        <v>15</v>
      </c>
      <c r="E18" s="315">
        <f>IF($R18=1,"",VLOOKUP($D18,'1-2'!$D$4:$L$103,2))</f>
      </c>
      <c r="F18" s="316" t="str">
        <f>IF($R18=1,"取消し",VLOOKUP($D18,'1-2'!$D$4:$L$103,3))</f>
        <v>取消し</v>
      </c>
      <c r="G18" s="225">
        <f>IF($R18=1,,VLOOKUP($D18,'1-2'!$D$4:$L$103,4))</f>
        <v>0</v>
      </c>
      <c r="H18" s="317">
        <f>IF($R18=1,,VLOOKUP($D18,'1-2'!$D$4:$L$103,5))</f>
        <v>0</v>
      </c>
      <c r="I18" s="317">
        <f>IF($R18=1,,VLOOKUP($D18,'1-2'!$D$4:$L$103,6))</f>
        <v>0</v>
      </c>
      <c r="J18" s="318">
        <f>IF($R18=1,,VLOOKUP($D18,'1-2'!$D$4:$L$103,7))</f>
        <v>0</v>
      </c>
      <c r="K18" s="319" t="str">
        <f t="shared" si="5"/>
        <v>取消し</v>
      </c>
      <c r="L18" s="320">
        <f t="shared" si="9"/>
        <v>0</v>
      </c>
      <c r="M18" s="321">
        <f t="shared" si="7"/>
        <v>0</v>
      </c>
      <c r="N18" s="321">
        <f t="shared" si="8"/>
        <v>0</v>
      </c>
      <c r="O18" s="310">
        <f t="shared" si="2"/>
        <v>0</v>
      </c>
      <c r="P18" s="311">
        <f>IF($R18=1,"",VLOOKUP($D18,'1-2'!$D$4:$L$103,8))</f>
      </c>
      <c r="Q18" s="312">
        <f>IF($R18=1,"",VLOOKUP($D18,'1-2'!$D$4:$L$103,9))</f>
      </c>
      <c r="R18" s="25">
        <f>IF(ISNA(MATCH($D18,'随時②-2'!$D$4:$D$18,0)),0,1)</f>
        <v>1</v>
      </c>
      <c r="S18" s="63">
        <f t="shared" si="1"/>
      </c>
      <c r="T18" s="63">
        <f t="shared" si="3"/>
      </c>
      <c r="U18" s="5" t="e">
        <f t="shared" si="4"/>
        <v>#N/A</v>
      </c>
    </row>
    <row r="19" spans="1:21" ht="13.5" customHeight="1">
      <c r="A19" s="313">
        <f>'1-2'!A19</f>
        <v>6</v>
      </c>
      <c r="B19" s="314" t="e">
        <f>'1-2'!#REF!</f>
        <v>#REF!</v>
      </c>
      <c r="C19" s="481" t="str">
        <f>'1-2'!C19</f>
        <v>人権教育の推進</v>
      </c>
      <c r="D19" s="255">
        <v>16</v>
      </c>
      <c r="E19" s="315" t="str">
        <f>IF($R19=1,"",VLOOKUP($D19,'1-2'!$D$4:$L$103,2))</f>
        <v>報償費</v>
      </c>
      <c r="F19" s="316" t="str">
        <f>IF($R19=1,"取消し",VLOOKUP($D19,'1-2'!$D$4:$L$103,3))</f>
        <v>平和学習講師謝礼</v>
      </c>
      <c r="G19" s="225">
        <f>IF($R19=1,,VLOOKUP($D19,'1-2'!$D$4:$L$103,4))</f>
        <v>10000</v>
      </c>
      <c r="H19" s="317">
        <f>IF($R19=1,,VLOOKUP($D19,'1-2'!$D$4:$L$103,5))</f>
        <v>1</v>
      </c>
      <c r="I19" s="317">
        <f>IF($R19=1,,VLOOKUP($D19,'1-2'!$D$4:$L$103,6))</f>
        <v>1</v>
      </c>
      <c r="J19" s="318">
        <f>IF($R19=1,,VLOOKUP($D19,'1-2'!$D$4:$L$103,7))</f>
        <v>10000</v>
      </c>
      <c r="K19" s="319" t="str">
        <f t="shared" si="5"/>
        <v>平和学習講師謝礼</v>
      </c>
      <c r="L19" s="320">
        <f t="shared" si="9"/>
        <v>10000</v>
      </c>
      <c r="M19" s="321">
        <f t="shared" si="7"/>
        <v>1</v>
      </c>
      <c r="N19" s="321">
        <f t="shared" si="8"/>
        <v>1</v>
      </c>
      <c r="O19" s="310">
        <f t="shared" si="2"/>
        <v>10000</v>
      </c>
      <c r="P19" s="311">
        <f>IF($R19=1,"",VLOOKUP($D19,'1-2'!$D$4:$L$103,8))</f>
        <v>0</v>
      </c>
      <c r="Q19" s="312">
        <f>IF($R19=1,"",VLOOKUP($D19,'1-2'!$D$4:$L$103,9))</f>
        <v>0</v>
      </c>
      <c r="R19" s="25">
        <f>IF(ISNA(MATCH($D19,'随時②-2'!$D$4:$D$18,0)),0,1)</f>
        <v>0</v>
      </c>
      <c r="S19" s="63">
        <f t="shared" si="1"/>
      </c>
      <c r="T19" s="63">
        <f t="shared" si="3"/>
      </c>
      <c r="U19" s="5">
        <f t="shared" si="4"/>
        <v>1</v>
      </c>
    </row>
    <row r="20" spans="1:21" ht="13.5" customHeight="1">
      <c r="A20" s="313">
        <f>'1-2'!A20</f>
        <v>0</v>
      </c>
      <c r="B20" s="314" t="str">
        <f>'1-2'!B19</f>
        <v>１－（１）－（１）</v>
      </c>
      <c r="C20" s="481" t="str">
        <f>'1-2'!C20</f>
        <v>人権教育の推進</v>
      </c>
      <c r="D20" s="255">
        <v>17</v>
      </c>
      <c r="E20" s="315" t="str">
        <f>IF($R20=1,"",VLOOKUP($D20,'1-2'!$D$4:$L$103,2))</f>
        <v>消耗需用費</v>
      </c>
      <c r="F20" s="316" t="str">
        <f>IF($R20=1,"取消し",VLOOKUP($D20,'1-2'!$D$4:$L$103,3))</f>
        <v>府立人研夏季セミナー資料代</v>
      </c>
      <c r="G20" s="225">
        <f>IF($R20=1,,VLOOKUP($D20,'1-2'!$D$4:$L$103,4))</f>
        <v>2000</v>
      </c>
      <c r="H20" s="317">
        <f>IF($R20=1,,VLOOKUP($D20,'1-2'!$D$4:$L$103,5))</f>
        <v>1</v>
      </c>
      <c r="I20" s="317">
        <f>IF($R20=1,,VLOOKUP($D20,'1-2'!$D$4:$L$103,6))</f>
        <v>1</v>
      </c>
      <c r="J20" s="318">
        <f>IF($R20=1,,VLOOKUP($D20,'1-2'!$D$4:$L$103,7))</f>
        <v>2000</v>
      </c>
      <c r="K20" s="319" t="str">
        <f t="shared" si="5"/>
        <v>府立人研夏季セミナー資料代</v>
      </c>
      <c r="L20" s="320">
        <v>2000</v>
      </c>
      <c r="M20" s="321">
        <f t="shared" si="7"/>
        <v>1</v>
      </c>
      <c r="N20" s="321">
        <f t="shared" si="8"/>
        <v>1</v>
      </c>
      <c r="O20" s="310">
        <f t="shared" si="2"/>
        <v>2000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0</v>
      </c>
      <c r="B21" s="314">
        <f>'1-2'!B21</f>
        <v>0</v>
      </c>
      <c r="C21" s="481" t="str">
        <f>'1-2'!C21</f>
        <v>人権教育の推進</v>
      </c>
      <c r="D21" s="255">
        <v>18</v>
      </c>
      <c r="E21" s="315" t="str">
        <f>IF($R21=1,"",VLOOKUP($D21,'1-2'!$D$4:$L$103,2))</f>
        <v>消耗需用費</v>
      </c>
      <c r="F21" s="316" t="str">
        <f>IF($R21=1,"取消し",VLOOKUP($D21,'1-2'!$D$4:$L$103,3))</f>
        <v>府立人研研修会資料代</v>
      </c>
      <c r="G21" s="225">
        <f>IF($R21=1,,VLOOKUP($D21,'1-2'!$D$4:$L$103,4))</f>
        <v>1000</v>
      </c>
      <c r="H21" s="317">
        <f>IF($R21=1,,VLOOKUP($D21,'1-2'!$D$4:$L$103,5))</f>
        <v>1</v>
      </c>
      <c r="I21" s="317">
        <f>IF($R21=1,,VLOOKUP($D21,'1-2'!$D$4:$L$103,6))</f>
        <v>1</v>
      </c>
      <c r="J21" s="318">
        <f>IF($R21=1,,VLOOKUP($D21,'1-2'!$D$4:$L$103,7))</f>
        <v>1000</v>
      </c>
      <c r="K21" s="319" t="str">
        <f t="shared" si="5"/>
        <v>府立人研研修会資料代</v>
      </c>
      <c r="L21" s="320">
        <v>1000</v>
      </c>
      <c r="M21" s="321">
        <f t="shared" si="7"/>
        <v>1</v>
      </c>
      <c r="N21" s="321">
        <v>0</v>
      </c>
      <c r="O21" s="310">
        <f t="shared" si="2"/>
        <v>0</v>
      </c>
      <c r="P21" s="311">
        <f>IF($R21=1,"",VLOOKUP($D21,'1-2'!$D$4:$L$103,8))</f>
        <v>0</v>
      </c>
      <c r="Q21" s="312">
        <f>IF($R21=1,"",VLOOKUP($D21,'1-2'!$D$4:$L$103,9))</f>
        <v>0</v>
      </c>
      <c r="R21" s="25">
        <f>IF(ISNA(MATCH($D21,'随時②-2'!$D$4:$D$18,0)),0,1)</f>
        <v>0</v>
      </c>
      <c r="S21" s="63">
        <f t="shared" si="1"/>
      </c>
      <c r="T21" s="63">
        <f t="shared" si="3"/>
      </c>
      <c r="U21" s="5">
        <f t="shared" si="4"/>
        <v>7</v>
      </c>
    </row>
    <row r="22" spans="1:21" ht="13.5" customHeight="1">
      <c r="A22" s="313">
        <f>'1-2'!A22</f>
        <v>7</v>
      </c>
      <c r="B22" s="314" t="str">
        <f>'1-2'!B22</f>
        <v>１－（4）－（4）</v>
      </c>
      <c r="C22" s="481" t="str">
        <f>'1-2'!C22</f>
        <v>医療的ケアの安全・適正な実施</v>
      </c>
      <c r="D22" s="255">
        <v>19</v>
      </c>
      <c r="E22" s="315" t="str">
        <f>IF($R22=1,"",VLOOKUP($D22,'1-2'!$D$4:$L$103,2))</f>
        <v>報償費</v>
      </c>
      <c r="F22" s="316" t="str">
        <f>IF($R22=1,"取消し",VLOOKUP($D22,'1-2'!$D$4:$L$103,3))</f>
        <v>食物アレルギー研修講師謝礼</v>
      </c>
      <c r="G22" s="225">
        <f>IF($R22=1,,VLOOKUP($D22,'1-2'!$D$4:$L$103,4))</f>
        <v>50000</v>
      </c>
      <c r="H22" s="317">
        <f>IF($R22=1,,VLOOKUP($D22,'1-2'!$D$4:$L$103,5))</f>
        <v>1</v>
      </c>
      <c r="I22" s="317">
        <f>IF($R22=1,,VLOOKUP($D22,'1-2'!$D$4:$L$103,6))</f>
        <v>1</v>
      </c>
      <c r="J22" s="318">
        <f>IF($R22=1,,VLOOKUP($D22,'1-2'!$D$4:$L$103,7))</f>
        <v>50000</v>
      </c>
      <c r="K22" s="319" t="str">
        <f t="shared" si="5"/>
        <v>食物アレルギー研修講師謝礼</v>
      </c>
      <c r="L22" s="320">
        <v>50000</v>
      </c>
      <c r="M22" s="321">
        <f t="shared" si="7"/>
        <v>1</v>
      </c>
      <c r="N22" s="321">
        <f t="shared" si="8"/>
        <v>1</v>
      </c>
      <c r="O22" s="310">
        <f t="shared" si="2"/>
        <v>50000</v>
      </c>
      <c r="P22" s="311">
        <f>IF($R22=1,"",VLOOKUP($D22,'1-2'!$D$4:$L$103,8))</f>
        <v>0</v>
      </c>
      <c r="Q22" s="312">
        <f>IF($R22=1,"",VLOOKUP($D22,'1-2'!$D$4:$L$103,9))</f>
        <v>0</v>
      </c>
      <c r="R22" s="25">
        <f>IF(ISNA(MATCH($D22,'随時②-2'!$D$4:$D$18,0)),0,1)</f>
        <v>0</v>
      </c>
      <c r="S22" s="63">
        <f t="shared" si="1"/>
      </c>
      <c r="T22" s="63">
        <f t="shared" si="3"/>
      </c>
      <c r="U22" s="5">
        <f t="shared" si="4"/>
        <v>1</v>
      </c>
    </row>
    <row r="23" spans="1:21" ht="13.5" customHeight="1">
      <c r="A23" s="313">
        <f>'1-2'!A23</f>
        <v>0</v>
      </c>
      <c r="B23" s="314">
        <f>'1-2'!B23</f>
        <v>0</v>
      </c>
      <c r="C23" s="481">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1">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1">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1">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1">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1">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1">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1">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1">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3">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3">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3">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3">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3">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5</v>
      </c>
      <c r="B124" s="339" t="str">
        <f>'随時②-2'!B21</f>
        <v>４－（３）－（３）</v>
      </c>
      <c r="C124" s="483" t="str">
        <f>'随時②-2'!C21</f>
        <v>地域支援</v>
      </c>
      <c r="D124" s="264">
        <v>201</v>
      </c>
      <c r="E124" s="316" t="str">
        <f>IF($R124=1,"",VLOOKUP($D124,'随時②-2'!$D$21:$L$35,2))</f>
        <v>旅費</v>
      </c>
      <c r="F124" s="316" t="str">
        <f>IF($R124=1,"取消し",VLOOKUP($D124,'随時②-2'!$D$21:$L$35,3))</f>
        <v>地域校教員向け研修講師旅費</v>
      </c>
      <c r="G124" s="225">
        <f>IF($R124=1,,VLOOKUP($D124,'随時②-2'!$D$21:$L$35,4))</f>
        <v>20000</v>
      </c>
      <c r="H124" s="317">
        <f>IF($R124=1,,VLOOKUP($D124,'随時②-2'!$D$21:$L$35,5))</f>
        <v>1</v>
      </c>
      <c r="I124" s="317">
        <f>IF($R124=1,,VLOOKUP($D124,'随時②-2'!$D$21:$L$35,6))</f>
        <v>1</v>
      </c>
      <c r="J124" s="318">
        <f>IF($R124=1,,VLOOKUP($D124,'随時②-2'!$D$21:$L$35,7))</f>
        <v>20000</v>
      </c>
      <c r="K124" s="340" t="str">
        <f t="shared" si="14"/>
        <v>地域校教員向け研修講師旅費</v>
      </c>
      <c r="L124" s="341">
        <v>12840</v>
      </c>
      <c r="M124" s="309">
        <f t="shared" si="16"/>
        <v>1</v>
      </c>
      <c r="N124" s="309">
        <f t="shared" si="17"/>
        <v>1</v>
      </c>
      <c r="O124" s="343">
        <f t="shared" si="11"/>
        <v>12840</v>
      </c>
      <c r="P124" s="344">
        <f>IF($R124=1,"",VLOOKUP($D124,'随時②-2'!$D$21:$L$35,8))</f>
        <v>0</v>
      </c>
      <c r="Q124" s="345">
        <f>IF($R124=1,"",VLOOKUP($D124,'随時②-2'!$D$21:$L$35,9))</f>
        <v>0</v>
      </c>
      <c r="R124" s="25">
        <f>IF(ISNA(MATCH($D124,'随時②-2'!$D$4:$D$18,0)),0,1)</f>
        <v>0</v>
      </c>
      <c r="S124" s="63">
        <f t="shared" si="10"/>
      </c>
      <c r="T124" s="63">
        <f t="shared" si="12"/>
      </c>
      <c r="U124" s="5">
        <f t="shared" si="13"/>
        <v>2</v>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7" t="s">
        <v>178</v>
      </c>
      <c r="I141" s="608"/>
      <c r="J141" s="38" t="s">
        <v>113</v>
      </c>
      <c r="K141" s="38" t="s">
        <v>175</v>
      </c>
      <c r="L141" s="527" t="s">
        <v>176</v>
      </c>
      <c r="M141" s="609"/>
      <c r="N141" s="610" t="s">
        <v>177</v>
      </c>
      <c r="O141" s="611"/>
      <c r="P141" s="598" t="s">
        <v>114</v>
      </c>
      <c r="Q141" s="599"/>
    </row>
    <row r="142" spans="6:17" ht="14.25" thickTop="1">
      <c r="F142" s="347" t="s">
        <v>85</v>
      </c>
      <c r="G142" s="348">
        <f>SUMIF($E$4:$E$138,$F142,$J$4:$J$138)</f>
        <v>410400</v>
      </c>
      <c r="H142" s="612">
        <f>SUMIF($E$4:$E$138,$F142,$S$4:$S$138)</f>
        <v>0</v>
      </c>
      <c r="I142" s="613"/>
      <c r="J142" s="349">
        <f>G142-H142</f>
        <v>410400</v>
      </c>
      <c r="K142" s="348">
        <f>SUMIF($E$4:$E$138,$F142,$O$4:$O$138)</f>
        <v>140600</v>
      </c>
      <c r="L142" s="612">
        <f>SUMIF($E$4:$E$138,$F142,$T$4:$T$138)</f>
        <v>0</v>
      </c>
      <c r="M142" s="614"/>
      <c r="N142" s="615">
        <f>K142-L142</f>
        <v>140600</v>
      </c>
      <c r="O142" s="616"/>
      <c r="P142" s="554">
        <f>J142-N142</f>
        <v>269800</v>
      </c>
      <c r="Q142" s="600"/>
    </row>
    <row r="143" spans="6:17" ht="13.5">
      <c r="F143" s="347" t="s">
        <v>86</v>
      </c>
      <c r="G143" s="350">
        <f aca="true" t="shared" si="22" ref="G143:G150">SUMIF($E$4:$E$138,$F143,$J$4:$J$138)</f>
        <v>170000</v>
      </c>
      <c r="H143" s="545">
        <f>SUMIF($E$4:$E$138,$F143,$S$4:$S$138)</f>
        <v>0</v>
      </c>
      <c r="I143" s="605"/>
      <c r="J143" s="351">
        <f>G143-H143</f>
        <v>170000</v>
      </c>
      <c r="K143" s="348">
        <f aca="true" t="shared" si="23" ref="K143:K150">SUMIF($E$4:$E$138,$F143,$O$4:$O$138)</f>
        <v>43460</v>
      </c>
      <c r="L143" s="544">
        <f aca="true" t="shared" si="24" ref="L143:L149">SUMIF($E$4:$E$138,$F143,$T$4:$T$138)</f>
        <v>0</v>
      </c>
      <c r="M143" s="547"/>
      <c r="N143" s="606">
        <f>K143-L143</f>
        <v>43460</v>
      </c>
      <c r="O143" s="605"/>
      <c r="P143" s="544">
        <f aca="true" t="shared" si="25" ref="P143:P150">J143-N143</f>
        <v>126540</v>
      </c>
      <c r="Q143" s="547"/>
    </row>
    <row r="144" spans="6:17" ht="13.5">
      <c r="F144" s="347" t="s">
        <v>125</v>
      </c>
      <c r="G144" s="348">
        <f t="shared" si="22"/>
        <v>69000</v>
      </c>
      <c r="H144" s="545">
        <f aca="true" t="shared" si="26" ref="H144:H149">SUMIF($E$4:$E$138,$F144,$S$4:$S$138)</f>
        <v>0</v>
      </c>
      <c r="I144" s="605"/>
      <c r="J144" s="351">
        <f aca="true" t="shared" si="27" ref="J144:J150">G144-H144</f>
        <v>69000</v>
      </c>
      <c r="K144" s="348">
        <f t="shared" si="23"/>
        <v>52640</v>
      </c>
      <c r="L144" s="544">
        <f t="shared" si="24"/>
        <v>0</v>
      </c>
      <c r="M144" s="547"/>
      <c r="N144" s="606">
        <f aca="true" t="shared" si="28" ref="N144:N150">K144-L144</f>
        <v>52640</v>
      </c>
      <c r="O144" s="605"/>
      <c r="P144" s="544">
        <f t="shared" si="25"/>
        <v>16360</v>
      </c>
      <c r="Q144" s="547"/>
    </row>
    <row r="145" spans="6:17" ht="13.5">
      <c r="F145" s="347" t="s">
        <v>126</v>
      </c>
      <c r="G145" s="348">
        <f t="shared" si="22"/>
        <v>0</v>
      </c>
      <c r="H145" s="545">
        <f t="shared" si="26"/>
        <v>0</v>
      </c>
      <c r="I145" s="605"/>
      <c r="J145" s="351">
        <f t="shared" si="27"/>
        <v>0</v>
      </c>
      <c r="K145" s="348">
        <f t="shared" si="23"/>
        <v>0</v>
      </c>
      <c r="L145" s="544">
        <f t="shared" si="24"/>
        <v>0</v>
      </c>
      <c r="M145" s="547"/>
      <c r="N145" s="606">
        <f t="shared" si="28"/>
        <v>0</v>
      </c>
      <c r="O145" s="605"/>
      <c r="P145" s="544">
        <f t="shared" si="25"/>
        <v>0</v>
      </c>
      <c r="Q145" s="547"/>
    </row>
    <row r="146" spans="6:17" ht="13.5">
      <c r="F146" s="347" t="s">
        <v>87</v>
      </c>
      <c r="G146" s="348">
        <f t="shared" si="22"/>
        <v>0</v>
      </c>
      <c r="H146" s="545">
        <f t="shared" si="26"/>
        <v>0</v>
      </c>
      <c r="I146" s="605"/>
      <c r="J146" s="351">
        <f t="shared" si="27"/>
        <v>0</v>
      </c>
      <c r="K146" s="348">
        <f t="shared" si="23"/>
        <v>0</v>
      </c>
      <c r="L146" s="544">
        <f t="shared" si="24"/>
        <v>0</v>
      </c>
      <c r="M146" s="547"/>
      <c r="N146" s="606">
        <f t="shared" si="28"/>
        <v>0</v>
      </c>
      <c r="O146" s="605"/>
      <c r="P146" s="544">
        <f t="shared" si="25"/>
        <v>0</v>
      </c>
      <c r="Q146" s="547"/>
    </row>
    <row r="147" spans="6:17" ht="13.5">
      <c r="F147" s="347" t="s">
        <v>88</v>
      </c>
      <c r="G147" s="348">
        <f t="shared" si="22"/>
        <v>0</v>
      </c>
      <c r="H147" s="545">
        <f t="shared" si="26"/>
        <v>0</v>
      </c>
      <c r="I147" s="605"/>
      <c r="J147" s="351">
        <f t="shared" si="27"/>
        <v>0</v>
      </c>
      <c r="K147" s="348">
        <f t="shared" si="23"/>
        <v>0</v>
      </c>
      <c r="L147" s="544">
        <f t="shared" si="24"/>
        <v>0</v>
      </c>
      <c r="M147" s="547"/>
      <c r="N147" s="606">
        <f t="shared" si="28"/>
        <v>0</v>
      </c>
      <c r="O147" s="605"/>
      <c r="P147" s="544">
        <f t="shared" si="25"/>
        <v>0</v>
      </c>
      <c r="Q147" s="547"/>
    </row>
    <row r="148" spans="6:17" ht="13.5">
      <c r="F148" s="347" t="s">
        <v>89</v>
      </c>
      <c r="G148" s="348">
        <f t="shared" si="22"/>
        <v>0</v>
      </c>
      <c r="H148" s="545">
        <f t="shared" si="26"/>
        <v>0</v>
      </c>
      <c r="I148" s="605"/>
      <c r="J148" s="351">
        <f t="shared" si="27"/>
        <v>0</v>
      </c>
      <c r="K148" s="348">
        <f t="shared" si="23"/>
        <v>0</v>
      </c>
      <c r="L148" s="544">
        <f t="shared" si="24"/>
        <v>0</v>
      </c>
      <c r="M148" s="547"/>
      <c r="N148" s="606">
        <f t="shared" si="28"/>
        <v>0</v>
      </c>
      <c r="O148" s="605"/>
      <c r="P148" s="544">
        <f t="shared" si="25"/>
        <v>0</v>
      </c>
      <c r="Q148" s="547"/>
    </row>
    <row r="149" spans="6:17" ht="13.5">
      <c r="F149" s="347" t="s">
        <v>90</v>
      </c>
      <c r="G149" s="348">
        <f t="shared" si="22"/>
        <v>0</v>
      </c>
      <c r="H149" s="545">
        <f t="shared" si="26"/>
        <v>0</v>
      </c>
      <c r="I149" s="605"/>
      <c r="J149" s="351">
        <f t="shared" si="27"/>
        <v>0</v>
      </c>
      <c r="K149" s="348">
        <f t="shared" si="23"/>
        <v>0</v>
      </c>
      <c r="L149" s="544">
        <f t="shared" si="24"/>
        <v>0</v>
      </c>
      <c r="M149" s="547"/>
      <c r="N149" s="606">
        <f t="shared" si="28"/>
        <v>0</v>
      </c>
      <c r="O149" s="605"/>
      <c r="P149" s="544">
        <f t="shared" si="25"/>
        <v>0</v>
      </c>
      <c r="Q149" s="547"/>
    </row>
    <row r="150" spans="6:17" ht="14.25" thickBot="1">
      <c r="F150" s="347" t="s">
        <v>138</v>
      </c>
      <c r="G150" s="348">
        <f t="shared" si="22"/>
        <v>164620</v>
      </c>
      <c r="H150" s="545">
        <f>SUMIF($E$4:$E$138,$F150,$S$4:$S$138)+'2-3'!G122</f>
        <v>3000</v>
      </c>
      <c r="I150" s="605"/>
      <c r="J150" s="351">
        <f t="shared" si="27"/>
        <v>161620</v>
      </c>
      <c r="K150" s="348">
        <f t="shared" si="23"/>
        <v>137120</v>
      </c>
      <c r="L150" s="594">
        <f>SUMIF($E$4:$E$138,$F150,$T$4:$T$138)+'2-3'!E122</f>
        <v>3000</v>
      </c>
      <c r="M150" s="595"/>
      <c r="N150" s="606">
        <f t="shared" si="28"/>
        <v>134120</v>
      </c>
      <c r="O150" s="605"/>
      <c r="P150" s="594">
        <f t="shared" si="25"/>
        <v>27500</v>
      </c>
      <c r="Q150" s="595"/>
    </row>
    <row r="151" spans="6:17" ht="15" thickBot="1" thickTop="1">
      <c r="F151" s="354" t="s">
        <v>15</v>
      </c>
      <c r="G151" s="355">
        <f>SUM(G142:G150)</f>
        <v>814020</v>
      </c>
      <c r="H151" s="551">
        <f>SUM(H142:I150)</f>
        <v>3000</v>
      </c>
      <c r="I151" s="603"/>
      <c r="J151" s="355">
        <f>SUM(J142:J150)</f>
        <v>811020</v>
      </c>
      <c r="K151" s="355">
        <f>SUM(K142:K150)</f>
        <v>373820</v>
      </c>
      <c r="L151" s="596">
        <f>SUM(L142:M150)</f>
        <v>3000</v>
      </c>
      <c r="M151" s="597"/>
      <c r="N151" s="603">
        <f>SUM(N142:O150)</f>
        <v>370820</v>
      </c>
      <c r="O151" s="604"/>
      <c r="P151" s="596">
        <f>SUM(P142:Q150)</f>
        <v>440200</v>
      </c>
      <c r="Q151" s="59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9" activePane="bottomRight" state="frozen"/>
      <selection pane="topLeft" activeCell="E23" sqref="E23"/>
      <selection pane="topRight" activeCell="E23" sqref="E23"/>
      <selection pane="bottomLeft" activeCell="E23" sqref="E23"/>
      <selection pane="bottomRight" activeCell="H65" sqref="H6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1" t="s">
        <v>261</v>
      </c>
      <c r="B1" s="621"/>
      <c r="C1" s="621"/>
      <c r="D1" s="621"/>
      <c r="E1" s="621"/>
      <c r="F1" s="621"/>
      <c r="G1" s="622"/>
      <c r="H1" s="622"/>
      <c r="I1" s="622"/>
    </row>
    <row r="2" spans="1:9" ht="15" customHeight="1" thickBot="1">
      <c r="A2" s="8"/>
      <c r="B2" s="7" t="s">
        <v>244</v>
      </c>
      <c r="C2" s="87"/>
      <c r="E2" s="116"/>
      <c r="F2" s="117" t="s">
        <v>112</v>
      </c>
      <c r="G2" s="209">
        <f>SUM(E5:E119)</f>
        <v>137120</v>
      </c>
      <c r="H2" s="72" t="s">
        <v>188</v>
      </c>
      <c r="I2" s="209">
        <f>SUM(H5:H119)</f>
        <v>21000</v>
      </c>
    </row>
    <row r="3" spans="1:9" ht="15" customHeight="1" thickBot="1">
      <c r="A3" s="8"/>
      <c r="B3" s="7"/>
      <c r="C3" s="87"/>
      <c r="E3" s="617" t="s">
        <v>181</v>
      </c>
      <c r="F3" s="618"/>
      <c r="G3" s="619"/>
      <c r="H3" s="617" t="s">
        <v>182</v>
      </c>
      <c r="I3" s="62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c>
      <c r="F5" s="194">
        <f>IF('1-3'!E4="","",'1-3'!E4)</f>
      </c>
      <c r="G5" s="128">
        <f>J5</f>
      </c>
      <c r="H5" s="210"/>
      <c r="I5" s="83"/>
      <c r="J5" s="125">
        <f>IF('1-3'!F4="","",'1-3'!F4)</f>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v>18000</v>
      </c>
      <c r="F20" s="196">
        <f>IF('1-3'!E19="","",'1-3'!E19)</f>
        <v>18000</v>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v>4000</v>
      </c>
      <c r="F28" s="196">
        <f>IF('1-3'!E27="","",'1-3'!E27)</f>
        <v>4000</v>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v>5000</v>
      </c>
      <c r="F55" s="196">
        <f>IF('1-3'!E54="","",'1-3'!E54)</f>
        <v>5000</v>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v>4000</v>
      </c>
      <c r="F60" s="196">
        <f>IF('1-3'!E59="","",'1-3'!E59)</f>
        <v>4000</v>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v>60000</v>
      </c>
      <c r="F73" s="196">
        <f>IF('1-3'!E72="","",'1-3'!E72)</f>
        <v>62000</v>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c>
      <c r="F89" s="196">
        <f>IF('1-3'!E88="","",'1-3'!E88)</f>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c>
      <c r="F94" s="196">
        <f>IF('1-3'!E93="","",'1-3'!E93)</f>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2000</v>
      </c>
      <c r="F100" s="196">
        <f>IF('1-3'!E99="","",'1-3'!E99)</f>
        <v>2000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c>
      <c r="F101" s="196">
        <f>IF('1-3'!E100="","",'1-3'!E100)</f>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大阪府聴覚障がい研究会</v>
      </c>
      <c r="E105" s="192">
        <f t="shared" si="2"/>
        <v>2000</v>
      </c>
      <c r="F105" s="194">
        <f>IF('1-3'!E104="","",'1-3'!E104)</f>
        <v>2000</v>
      </c>
      <c r="G105" s="128">
        <f t="shared" si="3"/>
      </c>
      <c r="H105" s="216"/>
      <c r="I105" s="128"/>
      <c r="J105" s="125">
        <f>IF('1-3'!F104="","",'1-3'!F104)</f>
      </c>
    </row>
    <row r="106" spans="1:10" ht="15" customHeight="1">
      <c r="A106" s="102">
        <v>102</v>
      </c>
      <c r="B106" s="154">
        <f>IF('1-3'!B105="","",'1-3'!B105)</f>
      </c>
      <c r="C106" s="154">
        <f>IF('1-3'!C105="","",'1-3'!C105)</f>
      </c>
      <c r="D106" s="132" t="str">
        <f>IF('1-3'!D105="","",'1-3'!D105)</f>
        <v>全日本聾教育研究大会参加費</v>
      </c>
      <c r="E106" s="187">
        <v>6000</v>
      </c>
      <c r="F106" s="196">
        <f>IF('1-3'!E105="","",'1-3'!E105)</f>
        <v>8000</v>
      </c>
      <c r="G106" s="84">
        <f t="shared" si="3"/>
      </c>
      <c r="H106" s="210"/>
      <c r="I106" s="83"/>
      <c r="J106" s="125">
        <f>IF('1-3'!F105="","",'1-3'!F105)</f>
      </c>
    </row>
    <row r="107" spans="1:10" ht="15" customHeight="1">
      <c r="A107" s="104">
        <v>103</v>
      </c>
      <c r="B107" s="155">
        <f>IF('1-3'!B106="","",'1-3'!B106)</f>
      </c>
      <c r="C107" s="155">
        <f>IF('1-3'!C106="","",'1-3'!C106)</f>
      </c>
      <c r="D107" s="133" t="str">
        <f>IF('1-3'!D106="","",'1-3'!D106)</f>
        <v>全国特別支援学校長研究大会参加費</v>
      </c>
      <c r="E107" s="187">
        <f t="shared" si="2"/>
        <v>3000</v>
      </c>
      <c r="F107" s="196">
        <f>IF('1-3'!E106="","",'1-3'!E106)</f>
        <v>3000</v>
      </c>
      <c r="G107" s="84">
        <f t="shared" si="3"/>
      </c>
      <c r="H107" s="210"/>
      <c r="I107" s="83"/>
      <c r="J107" s="125">
        <f>IF('1-3'!F106="","",'1-3'!F106)</f>
      </c>
    </row>
    <row r="108" spans="1:10" ht="15" customHeight="1">
      <c r="A108" s="102">
        <v>104</v>
      </c>
      <c r="B108" s="155">
        <f>IF('1-3'!B107="","",'1-3'!B107)</f>
      </c>
      <c r="C108" s="155">
        <f>IF('1-3'!C107="","",'1-3'!C107)</f>
      </c>
      <c r="D108" s="133" t="str">
        <f>IF('1-3'!D107="","",'1-3'!D107)</f>
        <v>全国聾学校長会研究協議会参加費</v>
      </c>
      <c r="E108" s="187"/>
      <c r="F108" s="196">
        <f>IF('1-3'!E107="","",'1-3'!E107)</f>
        <v>3000</v>
      </c>
      <c r="G108" s="84">
        <f t="shared" si="3"/>
      </c>
      <c r="H108" s="210">
        <v>3000</v>
      </c>
      <c r="I108" s="83"/>
      <c r="J108" s="125">
        <f>IF('1-3'!F107="","",'1-3'!F107)</f>
      </c>
    </row>
    <row r="109" spans="1:10" ht="15" customHeight="1">
      <c r="A109" s="104">
        <v>105</v>
      </c>
      <c r="B109" s="155">
        <f>IF('1-3'!B108="","",'1-3'!B108)</f>
      </c>
      <c r="C109" s="155">
        <f>IF('1-3'!C108="","",'1-3'!C108)</f>
      </c>
      <c r="D109" s="133" t="str">
        <f>IF('1-3'!D108="","",'1-3'!D108)</f>
        <v>全国聾学校教頭総会参加費</v>
      </c>
      <c r="E109" s="187">
        <v>0</v>
      </c>
      <c r="F109" s="196">
        <f>IF('1-3'!E108="","",'1-3'!E108)</f>
        <v>2500</v>
      </c>
      <c r="G109" s="84">
        <f t="shared" si="3"/>
      </c>
      <c r="H109" s="210"/>
      <c r="I109" s="83"/>
      <c r="J109" s="125">
        <f>IF('1-3'!F108="","",'1-3'!F108)</f>
      </c>
    </row>
    <row r="110" spans="1:10" ht="15" customHeight="1">
      <c r="A110" s="102">
        <v>106</v>
      </c>
      <c r="B110" s="155">
        <f>IF('1-3'!B109="","",'1-3'!B109)</f>
      </c>
      <c r="C110" s="155">
        <f>IF('1-3'!C109="","",'1-3'!C109)</f>
      </c>
      <c r="D110" s="133" t="str">
        <f>IF('1-3'!D109="","",'1-3'!D109)</f>
        <v>キャリア教育研修会参加費</v>
      </c>
      <c r="E110" s="187"/>
      <c r="F110" s="196">
        <f>IF('1-3'!E109="","",'1-3'!E109)</f>
        <v>10000</v>
      </c>
      <c r="G110" s="84">
        <f t="shared" si="3"/>
      </c>
      <c r="H110" s="210">
        <v>10000</v>
      </c>
      <c r="I110" s="83"/>
      <c r="J110" s="125">
        <f>IF('1-3'!F109="","",'1-3'!F109)</f>
      </c>
    </row>
    <row r="111" spans="1:10" ht="15" customHeight="1">
      <c r="A111" s="104">
        <v>107</v>
      </c>
      <c r="B111" s="155">
        <f>IF('1-3'!B110="","",'1-3'!B110)</f>
      </c>
      <c r="C111" s="155">
        <f>IF('1-3'!C110="","",'1-3'!C110)</f>
      </c>
      <c r="D111" s="133" t="str">
        <f>IF('1-3'!D110="","",'1-3'!D110)</f>
        <v>専門性向上研修派遣参加費</v>
      </c>
      <c r="E111" s="187"/>
      <c r="F111" s="196">
        <f>IF('1-3'!E110="","",'1-3'!E110)</f>
        <v>8000</v>
      </c>
      <c r="G111" s="84">
        <f t="shared" si="3"/>
      </c>
      <c r="H111" s="210">
        <v>8000</v>
      </c>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137120</v>
      </c>
      <c r="F121" s="118" t="s">
        <v>186</v>
      </c>
      <c r="G121" s="182">
        <f>SUM(F5:F119)</f>
        <v>164620</v>
      </c>
      <c r="H121" s="121" t="s">
        <v>190</v>
      </c>
      <c r="I121" s="182">
        <f>I2</f>
        <v>21000</v>
      </c>
    </row>
    <row r="122" spans="4:9" ht="15" customHeight="1">
      <c r="D122" s="87" t="s">
        <v>176</v>
      </c>
      <c r="E122" s="218">
        <f>SUMIF($G$5:$G$119,"◎",$E$5:$E$119)</f>
        <v>3000</v>
      </c>
      <c r="F122" s="119" t="s">
        <v>176</v>
      </c>
      <c r="G122" s="183">
        <f>'1-3'!F121</f>
        <v>3000</v>
      </c>
      <c r="H122" s="122" t="s">
        <v>176</v>
      </c>
      <c r="I122" s="183">
        <f>SUMIF($I$5:$I$119,"◎",$H$5:$H$119)</f>
        <v>0</v>
      </c>
    </row>
    <row r="123" spans="4:9" ht="15" customHeight="1" thickBot="1">
      <c r="D123" s="87" t="s">
        <v>218</v>
      </c>
      <c r="E123" s="219">
        <f>E121-E122</f>
        <v>134120</v>
      </c>
      <c r="F123" s="120" t="s">
        <v>187</v>
      </c>
      <c r="G123" s="184">
        <f>G121-G122</f>
        <v>161620</v>
      </c>
      <c r="H123" s="44" t="s">
        <v>189</v>
      </c>
      <c r="I123" s="184">
        <f>I121-I122</f>
        <v>21000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2018-03-27T00:02:30Z</cp:lastPrinted>
  <dcterms:created xsi:type="dcterms:W3CDTF">2007-02-21T01:05:33Z</dcterms:created>
  <dcterms:modified xsi:type="dcterms:W3CDTF">2018-06-21T07:43:48Z</dcterms:modified>
  <cp:category/>
  <cp:version/>
  <cp:contentType/>
  <cp:contentStatus/>
</cp:coreProperties>
</file>