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<sst xmlns="http://schemas.openxmlformats.org/spreadsheetml/2006/main" count="834" uniqueCount="335">
  <si>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</si>
  <si>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</si>
  <si>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</si>
  <si>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</si>
  <si>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</si>
  <si>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</si>
  <si>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</si>
  <si>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</si>
  <si>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</si>
  <si>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</si>
  <si>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</si>
  <si>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</si>
  <si>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</si>
  <si>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</si>
  <si>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</si>
  <si>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</si>
  <si>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</si>
  <si>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</si>
  <si>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</si>
  <si>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</si>
  <si>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</si>
  <si>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</si>
  <si>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</si>
  <si>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</si>
  <si>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</si>
  <si>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</si>
  <si>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</si>
  <si>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</si>
  <si>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</si>
  <si>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</si>
  <si>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</si>
  <si>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</si>
  <si>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</si>
  <si>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</si>
  <si>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</si>
  <si>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</si>
  <si>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</si>
  <si>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</si>
  <si>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</si>
  <si>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</si>
  <si>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</si>
  <si>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</si>
  <si>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</si>
  <si>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</si>
  <si>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</si>
  <si>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</si>
  <si>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</si>
  <si>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</si>
  <si>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</si>
  <si>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</si>
  <si>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</si>
  <si>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</si>
  <si>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</si>
  <si>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</si>
  <si>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</si>
  <si>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</si>
  <si>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</si>
  <si>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</si>
  <si>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</si>
  <si>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</si>
  <si>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</si>
  <si>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</si>
  <si>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</si>
  <si>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</si>
  <si>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</si>
  <si>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</si>
  <si>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</si>
  <si>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</si>
  <si>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</si>
  <si>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</si>
  <si>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</si>
  <si>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</si>
  <si>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</si>
  <si>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</si>
  <si>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</si>
  <si>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</si>
  <si>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</si>
  <si>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</si>
  <si>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</si>
  <si>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</si>
  <si>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</si>
  <si>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</si>
  <si>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</si>
  <si>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</si>
  <si>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</si>
  <si>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</si>
  <si>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</si>
  <si>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</si>
  <si>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</si>
  <si>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</si>
  <si>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</si>
  <si>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</si>
  <si>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</si>
  <si>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</si>
  <si>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</si>
  <si>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</si>
  <si>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</si>
  <si>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</si>
  <si>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</si>
  <si>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</si>
  <si>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</si>
  <si>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</si>
  <si>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</si>
  <si>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</si>
  <si>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</si>
  <si>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</si>
  <si>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</si>
  <si>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</si>
  <si>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</si>
  <si>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</si>
  <si>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</si>
  <si>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</si>
  <si>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</si>
  <si>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</si>
  <si>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</si>
  <si>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</si>
  <si>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</si>
  <si>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</si>
  <si>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</si>
  <si>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</si>
  <si>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</si>
  <si>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</si>
  <si>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</si>
  <si>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</si>
  <si>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</si>
  <si>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</si>
  <si>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</si>
  <si>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</si>
  <si>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</si>
  <si>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</si>
  <si>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</si>
  <si>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</si>
  <si>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</si>
  <si>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</si>
  <si>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</si>
  <si>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</si>
  <si>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</si>
  <si>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</si>
  <si>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</si>
  <si>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</si>
  <si>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</si>
  <si>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</si>
  <si>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</si>
  <si>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</si>
  <si>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</si>
  <si>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</si>
  <si>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</si>
  <si>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</si>
  <si>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</si>
  <si>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</si>
  <si>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</si>
  <si>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</si>
  <si>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</si>
  <si>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</si>
  <si>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</si>
  <si>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</si>
  <si>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</si>
  <si>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</si>
  <si>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</si>
  <si>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</si>
  <si>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</si>
  <si>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</si>
  <si>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</si>
  <si>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</si>
  <si>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</si>
  <si>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</si>
  <si>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</si>
  <si>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</si>
  <si>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</si>
  <si>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</si>
  <si>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</si>
  <si>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</si>
  <si>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</si>
  <si>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</si>
  <si>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</si>
  <si>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</si>
  <si>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</si>
  <si>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</si>
  <si>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</si>
  <si>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</si>
  <si>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</si>
  <si>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</si>
  <si>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</si>
  <si>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</si>
  <si>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</si>
  <si>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</si>
  <si>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</si>
  <si>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</si>
  <si>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</si>
  <si>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</si>
  <si>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</si>
  <si>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</si>
  <si>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</si>
  <si>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</si>
  <si>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</si>
  <si>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</si>
  <si>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</si>
  <si>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</si>
  <si>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</si>
  <si>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</si>
  <si>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</si>
  <si>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</si>
  <si>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</si>
  <si>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</si>
  <si>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</si>
  <si>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</si>
  <si>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</si>
  <si>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</si>
  <si>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</si>
  <si>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</si>
  <si>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</si>
  <si>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</si>
  <si>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</si>
  <si>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</si>
  <si>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</si>
  <si>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</si>
  <si>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</si>
  <si>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</si>
  <si>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</si>
  <si>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</si>
  <si>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</si>
  <si>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</si>
  <si>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</si>
  <si>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</si>
  <si>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</si>
  <si>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</si>
  <si>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</si>
  <si>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</si>
  <si>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</si>
  <si>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</si>
  <si>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</si>
  <si>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</si>
  <si>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</si>
  <si>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</si>
  <si>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</si>
  <si>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</si>
  <si>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</si>
  <si>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</si>
  <si>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</si>
  <si>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</si>
  <si>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</si>
  <si>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</si>
  <si>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</si>
  <si>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</si>
  <si>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</si>
  <si>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</si>
  <si>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</si>
  <si>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</si>
  <si>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</si>
  <si>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</si>
  <si>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</si>
  <si>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</si>
  <si>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</si>
  <si>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</si>
  <si>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</si>
  <si>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</si>
  <si>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</si>
  <si>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</si>
  <si>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</si>
  <si>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</si>
  <si>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</si>
  <si>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</si>
  <si>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</si>
  <si>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</si>
  <si>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</si>
  <si>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</si>
  <si>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</si>
  <si>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</si>
  <si>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</si>
  <si>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</si>
  <si>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</si>
  <si>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</si>
  <si>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（学校番号：417）</t>
  </si>
  <si>
    <t>（財務会計コード番号：10463）</t>
  </si>
  <si>
    <t>府立日根野高等学校　</t>
  </si>
  <si>
    <t>　校長　岸野　圭吾　</t>
  </si>
  <si>
    <t>◎</t>
  </si>
  <si>
    <t>泉南地区中学校高等学校生徒指導研究協議会</t>
  </si>
  <si>
    <t>CSP研修講師謝礼</t>
  </si>
  <si>
    <t>保育表現演習講師謝礼</t>
  </si>
  <si>
    <t>介護総合演習講師謝礼</t>
  </si>
  <si>
    <t>カラープリンター</t>
  </si>
  <si>
    <t>カラープリンター消耗品</t>
  </si>
  <si>
    <t>スキャナー</t>
  </si>
  <si>
    <t>車いす</t>
  </si>
  <si>
    <t>学校案内パンフレット</t>
  </si>
  <si>
    <t>授業アンケートシステム運用業務委託</t>
  </si>
  <si>
    <t>９地区学校説明会会場費</t>
  </si>
  <si>
    <t>1-(1)-オ</t>
  </si>
  <si>
    <t>学校経営上の数値目標</t>
  </si>
  <si>
    <t>1-(2)-ア</t>
  </si>
  <si>
    <t>専門コース演習科目の内容充実</t>
  </si>
  <si>
    <t>1-(2)-ウ</t>
  </si>
  <si>
    <t>食器棚</t>
  </si>
  <si>
    <t>入学志願者数の安定</t>
  </si>
  <si>
    <t>幹事校：久米田高校</t>
  </si>
  <si>
    <t>　日高第43号　</t>
  </si>
  <si>
    <t>　　平成　２９年　４月　26日</t>
  </si>
  <si>
    <t>1-(1)-オ</t>
  </si>
  <si>
    <t>1-(2)-ア</t>
  </si>
  <si>
    <t>1-(2)-ウ</t>
  </si>
  <si>
    <t>2-(3)-イ</t>
  </si>
  <si>
    <t>学校経営上の数値目標</t>
  </si>
  <si>
    <t>専門コース演習科目の内容充実</t>
  </si>
  <si>
    <t>入学志願者数の安定</t>
  </si>
  <si>
    <t>部活動の発信・発表の場を多く設ける</t>
  </si>
  <si>
    <t>校内ＬＡＮ関係機器等消耗品</t>
  </si>
  <si>
    <t>電気スタンド</t>
  </si>
  <si>
    <t>ポータブル吸引器</t>
  </si>
  <si>
    <t>拡大コピー機用消耗品</t>
  </si>
  <si>
    <t>日根野杯ボール</t>
  </si>
  <si>
    <t>日根野杯ラインテープ</t>
  </si>
  <si>
    <t>日根野杯会場借上料</t>
  </si>
  <si>
    <t>3-(2)-ア</t>
  </si>
  <si>
    <t>生徒の相談窓口の複数化等</t>
  </si>
  <si>
    <t>教育相談支援研修講師謝礼</t>
  </si>
  <si>
    <t>泉南地区高等学校生活指導研究会</t>
  </si>
  <si>
    <t>オープンスクール・クラブ体験用消耗品</t>
  </si>
  <si>
    <t>　日高 第139号　</t>
  </si>
  <si>
    <t>　　平成　29　年　　８　月　　２　日</t>
  </si>
  <si>
    <t>１-(１)-オ</t>
  </si>
  <si>
    <t>１-(２)-ア</t>
  </si>
  <si>
    <t>１-(２)-ウ</t>
  </si>
  <si>
    <t>２-(３)-イ</t>
  </si>
  <si>
    <t>３-(2)-ア</t>
  </si>
  <si>
    <t>部活動の発信・発表の場を多く設ける</t>
  </si>
  <si>
    <t>講師謝礼（ＣＳＰ研修、介護総合演習、保育表現演習）、車いす・食器棚・ポータブル吸引器の購入</t>
  </si>
  <si>
    <t>学校案内パンフレットの作成、９地区学校説明会会場費、拡大コピー機等の消耗品・オープンスクール用消耗品の購入</t>
  </si>
  <si>
    <t>日根野杯会場借上料、ボール・ラインテープの購入</t>
  </si>
  <si>
    <t>講師謝礼（教育相談支援研修）</t>
  </si>
  <si>
    <t>授業アンケートシステム運用業務委託、スキャナー・電気スタンド・校内ＬＡＮ関係機器の購入</t>
  </si>
  <si>
    <t>　標記につきまして、平成29年度の執行状況及び実施内容を、下記のとおり報告します。</t>
  </si>
  <si>
    <t>○</t>
  </si>
  <si>
    <t>平成30年　2月16日</t>
  </si>
  <si>
    <t>　 日高 第296号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</si>
</sst>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quot;#,##0.0;[Red]&quot;¥&quot;\-#,##0.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style="medium"/>
      <top style="hair"/>
      <bottom>
        <color indexed="63"/>
      </bottom>
    </border>
    <border>
      <left style="medium"/>
      <right style="medium"/>
      <top>
        <color indexed="63"/>
      </top>
      <bottom>
        <color indexed="63"/>
      </bottom>
    </border>
    <border>
      <left style="medium"/>
      <right style="hair"/>
      <top style="hair"/>
      <bottom>
        <color indexed="63"/>
      </bottom>
    </border>
    <border>
      <left style="medium"/>
      <right style="hair"/>
      <top>
        <color indexed="63"/>
      </top>
      <bottom>
        <color indexed="63"/>
      </bottom>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5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186" fontId="7" fillId="6" borderId="88" xfId="57" applyNumberFormat="1" applyFont="1" applyFill="1" applyBorder="1" applyAlignment="1" applyProtection="1">
      <alignment horizontal="right" vertical="center" shrinkToFit="1"/>
      <protection locked="0"/>
    </xf>
    <xf numFmtId="0" fontId="7" fillId="6" borderId="111" xfId="0" applyFont="1" applyFill="1" applyBorder="1" applyAlignment="1" applyProtection="1">
      <alignment horizontal="left" vertical="center" shrinkToFit="1"/>
      <protection locked="0"/>
    </xf>
    <xf numFmtId="0" fontId="7" fillId="6" borderId="81" xfId="0" applyFon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6" borderId="202" xfId="0" applyFont="1" applyFill="1" applyBorder="1" applyAlignment="1" applyProtection="1">
      <alignment horizontal="center" vertical="center" shrinkToFit="1"/>
      <protection locked="0"/>
    </xf>
    <xf numFmtId="0" fontId="7" fillId="6" borderId="203" xfId="0" applyFont="1" applyFill="1" applyBorder="1" applyAlignment="1" applyProtection="1">
      <alignment horizontal="center" vertical="center" shrinkToFit="1"/>
      <protection locked="0"/>
    </xf>
    <xf numFmtId="0" fontId="7" fillId="6" borderId="107" xfId="0" applyFont="1" applyFill="1" applyBorder="1" applyAlignment="1" applyProtection="1">
      <alignment horizontal="center" vertical="center" shrinkToFit="1"/>
      <protection locked="0"/>
    </xf>
    <xf numFmtId="0" fontId="7" fillId="6" borderId="204" xfId="0" applyFont="1" applyFill="1" applyBorder="1" applyAlignment="1" applyProtection="1">
      <alignment horizontal="center" vertical="center" shrinkToFit="1"/>
      <protection locked="0"/>
    </xf>
    <xf numFmtId="0" fontId="7" fillId="6" borderId="205"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center" vertical="center" shrinkToFit="1"/>
      <protection locked="0"/>
    </xf>
    <xf numFmtId="0" fontId="7" fillId="6" borderId="111" xfId="0" applyFont="1" applyFill="1" applyBorder="1" applyAlignment="1" applyProtection="1">
      <alignment horizontal="left" vertical="center" wrapText="1"/>
      <protection locked="0"/>
    </xf>
    <xf numFmtId="0" fontId="7" fillId="6" borderId="113"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protection locked="0"/>
    </xf>
    <xf numFmtId="0" fontId="7" fillId="6" borderId="111" xfId="0" applyFont="1" applyFill="1" applyBorder="1" applyAlignment="1" applyProtection="1">
      <alignment horizontal="left" vertical="center" shrinkToFit="1"/>
      <protection locked="0"/>
    </xf>
    <xf numFmtId="0" fontId="7" fillId="6" borderId="113"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shrinkToFit="1"/>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7" fillId="6" borderId="111" xfId="0" applyFont="1" applyFill="1" applyBorder="1" applyAlignment="1" applyProtection="1">
      <alignment horizontal="left" vertical="center" wrapText="1" shrinkToFit="1"/>
      <protection locked="0"/>
    </xf>
    <xf numFmtId="0" fontId="7" fillId="6" borderId="113" xfId="0" applyFont="1" applyFill="1" applyBorder="1" applyAlignment="1" applyProtection="1">
      <alignment horizontal="left" vertical="center" wrapText="1" shrinkToFit="1"/>
      <protection locked="0"/>
    </xf>
    <xf numFmtId="0" fontId="7" fillId="6" borderId="92" xfId="0" applyFont="1" applyFill="1" applyBorder="1" applyAlignment="1" applyProtection="1">
      <alignment horizontal="left" vertical="center" wrapText="1" shrinkToFit="1"/>
      <protection locked="0"/>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6" borderId="220"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21"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21" xfId="0" applyFont="1" applyFill="1" applyBorder="1" applyAlignment="1" applyProtection="1">
      <alignment horizontal="left" vertical="center" wrapText="1"/>
      <protection locked="0"/>
    </xf>
    <xf numFmtId="0" fontId="7" fillId="6" borderId="222"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4">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2" t="s">
        <v>272</v>
      </c>
      <c r="I1" s="502"/>
      <c r="J1" s="502"/>
      <c r="K1" s="502"/>
    </row>
    <row r="2" spans="2:11" s="1" customFormat="1" ht="18" customHeight="1">
      <c r="B2" s="146"/>
      <c r="H2" s="502" t="s">
        <v>273</v>
      </c>
      <c r="I2" s="502"/>
      <c r="J2" s="502"/>
      <c r="K2" s="502"/>
    </row>
    <row r="3" spans="2:11" s="1" customFormat="1" ht="18" customHeight="1">
      <c r="B3" s="146"/>
      <c r="K3" s="2"/>
    </row>
    <row r="4" spans="2:11" s="1" customFormat="1" ht="18" customHeight="1">
      <c r="B4" s="146"/>
      <c r="H4" s="503" t="s">
        <v>334</v>
      </c>
      <c r="I4" s="503"/>
      <c r="J4" s="503"/>
      <c r="K4" s="503"/>
    </row>
    <row r="5" spans="2:11" s="1" customFormat="1" ht="18" customHeight="1">
      <c r="B5" s="146"/>
      <c r="H5" s="504">
        <v>42785</v>
      </c>
      <c r="I5" s="503"/>
      <c r="J5" s="503"/>
      <c r="K5" s="503"/>
    </row>
    <row r="6" spans="1:11" s="1" customFormat="1" ht="18" customHeight="1">
      <c r="A6" s="3" t="s">
        <v>2</v>
      </c>
      <c r="B6" s="146"/>
      <c r="H6" s="4"/>
      <c r="K6" s="11"/>
    </row>
    <row r="7" spans="1:11" s="1" customFormat="1" ht="18" customHeight="1">
      <c r="A7" s="4"/>
      <c r="B7" s="146"/>
      <c r="H7" s="503" t="s">
        <v>274</v>
      </c>
      <c r="I7" s="503"/>
      <c r="J7" s="503"/>
      <c r="K7" s="503"/>
    </row>
    <row r="8" spans="1:11" s="1" customFormat="1" ht="18" customHeight="1">
      <c r="A8" s="4"/>
      <c r="B8" s="146"/>
      <c r="H8" s="503" t="s">
        <v>275</v>
      </c>
      <c r="I8" s="503"/>
      <c r="J8" s="503"/>
      <c r="K8" s="503"/>
    </row>
    <row r="9" spans="1:11" s="1" customFormat="1" ht="42" customHeight="1">
      <c r="A9" s="4"/>
      <c r="B9" s="146"/>
      <c r="H9" s="2"/>
      <c r="K9" s="46"/>
    </row>
    <row r="10" spans="1:11" s="5" customFormat="1" ht="24" customHeight="1">
      <c r="A10" s="491" t="s">
        <v>263</v>
      </c>
      <c r="B10" s="491"/>
      <c r="C10" s="491"/>
      <c r="D10" s="491"/>
      <c r="E10" s="491"/>
      <c r="F10" s="491"/>
      <c r="G10" s="491"/>
      <c r="H10" s="491"/>
      <c r="I10" s="491"/>
      <c r="J10" s="491"/>
      <c r="K10" s="491"/>
    </row>
    <row r="11" spans="1:11" s="5" customFormat="1" ht="24" customHeight="1">
      <c r="A11" s="492"/>
      <c r="B11" s="492"/>
      <c r="C11" s="492"/>
      <c r="D11" s="492"/>
      <c r="E11" s="492"/>
      <c r="F11" s="492"/>
      <c r="G11" s="492"/>
      <c r="H11" s="492"/>
      <c r="I11" s="492"/>
      <c r="J11" s="492"/>
      <c r="K11" s="492"/>
    </row>
    <row r="12" spans="1:11" s="5" customFormat="1" ht="24" customHeight="1">
      <c r="A12" s="14" t="s">
        <v>331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3" t="s">
        <v>223</v>
      </c>
      <c r="B14" s="494"/>
      <c r="C14" s="495"/>
      <c r="D14" s="496">
        <f>'1-1'!D14:F14</f>
        <v>1190000</v>
      </c>
      <c r="E14" s="497"/>
      <c r="F14" s="498"/>
      <c r="G14" s="505" t="s">
        <v>1</v>
      </c>
      <c r="H14" s="506"/>
      <c r="I14" s="507" t="s">
        <v>333</v>
      </c>
      <c r="J14" s="508"/>
      <c r="K14" s="509"/>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9">
        <f>'3-2'!K32</f>
        <v>100000</v>
      </c>
      <c r="C16" s="220">
        <f>'3-2'!K33</f>
        <v>0</v>
      </c>
      <c r="D16" s="220">
        <f>'3-2'!K34</f>
        <v>875958.798</v>
      </c>
      <c r="E16" s="220">
        <f>'3-2'!K35</f>
        <v>0</v>
      </c>
      <c r="F16" s="220">
        <f>'3-2'!K36</f>
        <v>0</v>
      </c>
      <c r="G16" s="220">
        <f>'3-2'!K37</f>
        <v>40932</v>
      </c>
      <c r="H16" s="220">
        <f>'3-2'!K38</f>
        <v>113264</v>
      </c>
      <c r="I16" s="220">
        <f>'3-2'!K39</f>
        <v>0</v>
      </c>
      <c r="J16" s="221">
        <f>'3-2'!K40</f>
        <v>48330</v>
      </c>
      <c r="K16" s="222">
        <f>SUM(B16:J16)</f>
        <v>1178484.798</v>
      </c>
    </row>
    <row r="17" spans="6:7" ht="24" customHeight="1" thickBot="1">
      <c r="F17" s="12"/>
      <c r="G17" s="12"/>
    </row>
    <row r="18" spans="1:11" ht="24" customHeight="1" thickBot="1">
      <c r="A18" s="144" t="s">
        <v>141</v>
      </c>
      <c r="B18" s="510" t="s">
        <v>142</v>
      </c>
      <c r="C18" s="511"/>
      <c r="D18" s="510" t="s">
        <v>224</v>
      </c>
      <c r="E18" s="512"/>
      <c r="F18" s="511" t="s">
        <v>219</v>
      </c>
      <c r="G18" s="511"/>
      <c r="H18" s="511"/>
      <c r="I18" s="511"/>
      <c r="J18" s="512"/>
      <c r="K18" s="145" t="s">
        <v>140</v>
      </c>
    </row>
    <row r="19" spans="1:11" ht="48" customHeight="1">
      <c r="A19" s="149">
        <v>1</v>
      </c>
      <c r="B19" s="513" t="s">
        <v>320</v>
      </c>
      <c r="C19" s="514"/>
      <c r="D19" s="516" t="s">
        <v>289</v>
      </c>
      <c r="E19" s="517"/>
      <c r="F19" s="518" t="s">
        <v>330</v>
      </c>
      <c r="G19" s="518"/>
      <c r="H19" s="518"/>
      <c r="I19" s="518"/>
      <c r="J19" s="517"/>
      <c r="K19" s="473" t="s">
        <v>276</v>
      </c>
    </row>
    <row r="20" spans="1:11" ht="48" customHeight="1">
      <c r="A20" s="150">
        <v>2</v>
      </c>
      <c r="B20" s="489" t="s">
        <v>321</v>
      </c>
      <c r="C20" s="515"/>
      <c r="D20" s="486" t="s">
        <v>291</v>
      </c>
      <c r="E20" s="487"/>
      <c r="F20" s="488" t="s">
        <v>326</v>
      </c>
      <c r="G20" s="488"/>
      <c r="H20" s="488"/>
      <c r="I20" s="488"/>
      <c r="J20" s="487"/>
      <c r="K20" s="473" t="s">
        <v>276</v>
      </c>
    </row>
    <row r="21" spans="1:11" ht="48" customHeight="1">
      <c r="A21" s="150">
        <v>3</v>
      </c>
      <c r="B21" s="489" t="s">
        <v>322</v>
      </c>
      <c r="C21" s="515"/>
      <c r="D21" s="486" t="s">
        <v>294</v>
      </c>
      <c r="E21" s="487"/>
      <c r="F21" s="488" t="s">
        <v>327</v>
      </c>
      <c r="G21" s="488"/>
      <c r="H21" s="488"/>
      <c r="I21" s="488"/>
      <c r="J21" s="487"/>
      <c r="K21" s="473" t="s">
        <v>332</v>
      </c>
    </row>
    <row r="22" spans="1:11" ht="48" customHeight="1">
      <c r="A22" s="150">
        <v>4</v>
      </c>
      <c r="B22" s="489" t="s">
        <v>323</v>
      </c>
      <c r="C22" s="515"/>
      <c r="D22" s="486" t="s">
        <v>325</v>
      </c>
      <c r="E22" s="487"/>
      <c r="F22" s="488" t="s">
        <v>328</v>
      </c>
      <c r="G22" s="488"/>
      <c r="H22" s="488"/>
      <c r="I22" s="488"/>
      <c r="J22" s="487"/>
      <c r="K22" s="473" t="s">
        <v>332</v>
      </c>
    </row>
    <row r="23" spans="1:11" ht="48" customHeight="1">
      <c r="A23" s="150">
        <v>5</v>
      </c>
      <c r="B23" s="489" t="s">
        <v>324</v>
      </c>
      <c r="C23" s="515"/>
      <c r="D23" s="486" t="s">
        <v>314</v>
      </c>
      <c r="E23" s="487"/>
      <c r="F23" s="488" t="s">
        <v>329</v>
      </c>
      <c r="G23" s="488"/>
      <c r="H23" s="488"/>
      <c r="I23" s="488"/>
      <c r="J23" s="487"/>
      <c r="K23" s="473" t="s">
        <v>276</v>
      </c>
    </row>
    <row r="24" spans="1:11" ht="48" customHeight="1">
      <c r="A24" s="150"/>
      <c r="B24" s="489"/>
      <c r="C24" s="515"/>
      <c r="D24" s="486"/>
      <c r="E24" s="487"/>
      <c r="F24" s="488"/>
      <c r="G24" s="488"/>
      <c r="H24" s="488"/>
      <c r="I24" s="488"/>
      <c r="J24" s="487"/>
      <c r="K24" s="473"/>
    </row>
    <row r="25" spans="1:11" ht="48" customHeight="1">
      <c r="A25" s="150"/>
      <c r="B25" s="489"/>
      <c r="C25" s="490"/>
      <c r="D25" s="486"/>
      <c r="E25" s="487"/>
      <c r="F25" s="488"/>
      <c r="G25" s="488"/>
      <c r="H25" s="488"/>
      <c r="I25" s="488"/>
      <c r="J25" s="487"/>
      <c r="K25" s="473"/>
    </row>
    <row r="26" spans="1:11" ht="48" customHeight="1">
      <c r="A26" s="150"/>
      <c r="B26" s="489"/>
      <c r="C26" s="490"/>
      <c r="D26" s="486"/>
      <c r="E26" s="487"/>
      <c r="F26" s="488"/>
      <c r="G26" s="488"/>
      <c r="H26" s="488"/>
      <c r="I26" s="488"/>
      <c r="J26" s="487"/>
      <c r="K26" s="473"/>
    </row>
    <row r="27" spans="1:11" ht="48" customHeight="1">
      <c r="A27" s="150"/>
      <c r="B27" s="489"/>
      <c r="C27" s="515"/>
      <c r="D27" s="486"/>
      <c r="E27" s="487"/>
      <c r="F27" s="488"/>
      <c r="G27" s="488"/>
      <c r="H27" s="488"/>
      <c r="I27" s="488"/>
      <c r="J27" s="487"/>
      <c r="K27" s="473"/>
    </row>
    <row r="28" spans="1:11" ht="48" customHeight="1">
      <c r="A28" s="150"/>
      <c r="B28" s="489"/>
      <c r="C28" s="515"/>
      <c r="D28" s="486"/>
      <c r="E28" s="487"/>
      <c r="F28" s="488"/>
      <c r="G28" s="488"/>
      <c r="H28" s="488"/>
      <c r="I28" s="488"/>
      <c r="J28" s="487"/>
      <c r="K28" s="473"/>
    </row>
    <row r="29" spans="1:11" ht="48" customHeight="1" thickBot="1">
      <c r="A29" s="151"/>
      <c r="B29" s="519"/>
      <c r="C29" s="520"/>
      <c r="D29" s="499"/>
      <c r="E29" s="500"/>
      <c r="F29" s="501"/>
      <c r="G29" s="501"/>
      <c r="H29" s="501"/>
      <c r="I29" s="501"/>
      <c r="J29" s="500"/>
      <c r="K29" s="648"/>
    </row>
    <row r="30" spans="1:11" ht="48" customHeight="1">
      <c r="A30" s="642"/>
      <c r="B30" s="643"/>
      <c r="C30" s="644"/>
      <c r="D30" s="645"/>
      <c r="E30" s="646"/>
      <c r="F30" s="647"/>
      <c r="G30" s="647"/>
      <c r="H30" s="647"/>
      <c r="I30" s="647"/>
      <c r="J30" s="646"/>
      <c r="K30" s="473"/>
    </row>
    <row r="31" spans="1:11" ht="48" customHeight="1">
      <c r="A31" s="157"/>
      <c r="B31" s="489"/>
      <c r="C31" s="490"/>
      <c r="D31" s="486"/>
      <c r="E31" s="487"/>
      <c r="F31" s="488"/>
      <c r="G31" s="488"/>
      <c r="H31" s="488"/>
      <c r="I31" s="488"/>
      <c r="J31" s="487"/>
      <c r="K31" s="473"/>
    </row>
    <row r="32" spans="1:11" ht="48" customHeight="1">
      <c r="A32" s="157"/>
      <c r="B32" s="489"/>
      <c r="C32" s="490"/>
      <c r="D32" s="486"/>
      <c r="E32" s="487"/>
      <c r="F32" s="488"/>
      <c r="G32" s="488"/>
      <c r="H32" s="488"/>
      <c r="I32" s="488"/>
      <c r="J32" s="487"/>
      <c r="K32" s="473"/>
    </row>
    <row r="33" spans="1:11" ht="48" customHeight="1">
      <c r="A33" s="157"/>
      <c r="B33" s="489"/>
      <c r="C33" s="490"/>
      <c r="D33" s="486"/>
      <c r="E33" s="487"/>
      <c r="F33" s="488"/>
      <c r="G33" s="488"/>
      <c r="H33" s="488"/>
      <c r="I33" s="488"/>
      <c r="J33" s="487"/>
      <c r="K33" s="473"/>
    </row>
    <row r="34" spans="1:11" ht="48" customHeight="1">
      <c r="A34" s="157"/>
      <c r="B34" s="489"/>
      <c r="C34" s="490"/>
      <c r="D34" s="486"/>
      <c r="E34" s="487"/>
      <c r="F34" s="488"/>
      <c r="G34" s="488"/>
      <c r="H34" s="488"/>
      <c r="I34" s="488"/>
      <c r="J34" s="487"/>
      <c r="K34" s="473"/>
    </row>
    <row r="35" spans="1:11" ht="48" customHeight="1" thickBot="1">
      <c r="A35" s="151"/>
      <c r="B35" s="519"/>
      <c r="C35" s="520"/>
      <c r="D35" s="499"/>
      <c r="E35" s="500"/>
      <c r="F35" s="501"/>
      <c r="G35" s="501"/>
      <c r="H35" s="501"/>
      <c r="I35" s="501"/>
      <c r="J35" s="500"/>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6" sqref="C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14.25">
      <c r="A5" s="578">
        <v>1</v>
      </c>
      <c r="B5" s="581" t="s">
        <v>298</v>
      </c>
      <c r="C5" s="587" t="s">
        <v>302</v>
      </c>
      <c r="D5" s="254">
        <v>302</v>
      </c>
      <c r="E5" s="484" t="s">
        <v>125</v>
      </c>
      <c r="F5" s="256" t="s">
        <v>306</v>
      </c>
      <c r="G5" s="257">
        <v>30000</v>
      </c>
      <c r="H5" s="258">
        <v>5</v>
      </c>
      <c r="I5" s="258">
        <v>1</v>
      </c>
      <c r="J5" s="259">
        <f>G5*H5*I5</f>
        <v>150000</v>
      </c>
      <c r="K5" s="260"/>
      <c r="L5" s="261"/>
      <c r="M5" s="29">
        <f t="shared" si="0"/>
      </c>
    </row>
    <row r="6" spans="1:13" ht="14.25">
      <c r="A6" s="580"/>
      <c r="B6" s="583"/>
      <c r="C6" s="589"/>
      <c r="D6" s="254">
        <v>303</v>
      </c>
      <c r="E6" s="484" t="s">
        <v>125</v>
      </c>
      <c r="F6" s="256" t="s">
        <v>307</v>
      </c>
      <c r="G6" s="257">
        <v>4950</v>
      </c>
      <c r="H6" s="258">
        <v>10</v>
      </c>
      <c r="I6" s="258">
        <v>1</v>
      </c>
      <c r="J6" s="259">
        <f aca="true" t="shared" si="1" ref="J6:J69">G6*H6*I6</f>
        <v>49500</v>
      </c>
      <c r="K6" s="260"/>
      <c r="L6" s="261"/>
      <c r="M6" s="29">
        <f t="shared" si="0"/>
      </c>
    </row>
    <row r="7" spans="1:13" ht="14.25">
      <c r="A7" s="578">
        <v>2</v>
      </c>
      <c r="B7" s="581" t="s">
        <v>299</v>
      </c>
      <c r="C7" s="625" t="s">
        <v>303</v>
      </c>
      <c r="D7" s="254">
        <v>304</v>
      </c>
      <c r="E7" s="484" t="s">
        <v>85</v>
      </c>
      <c r="F7" s="256" t="s">
        <v>278</v>
      </c>
      <c r="G7" s="257">
        <v>10000</v>
      </c>
      <c r="H7" s="258">
        <v>1</v>
      </c>
      <c r="I7" s="258">
        <v>1</v>
      </c>
      <c r="J7" s="259">
        <f t="shared" si="1"/>
        <v>10000</v>
      </c>
      <c r="K7" s="260"/>
      <c r="L7" s="261"/>
      <c r="M7" s="29">
        <f t="shared" si="0"/>
      </c>
    </row>
    <row r="8" spans="1:13" ht="14.25">
      <c r="A8" s="579"/>
      <c r="B8" s="582"/>
      <c r="C8" s="626"/>
      <c r="D8" s="254">
        <v>305</v>
      </c>
      <c r="E8" s="484" t="s">
        <v>85</v>
      </c>
      <c r="F8" s="256" t="s">
        <v>279</v>
      </c>
      <c r="G8" s="257">
        <v>10000</v>
      </c>
      <c r="H8" s="258">
        <v>1</v>
      </c>
      <c r="I8" s="258">
        <v>1</v>
      </c>
      <c r="J8" s="259">
        <f t="shared" si="1"/>
        <v>10000</v>
      </c>
      <c r="K8" s="260"/>
      <c r="L8" s="261"/>
      <c r="M8" s="29">
        <f t="shared" si="0"/>
      </c>
    </row>
    <row r="9" spans="1:13" ht="14.25">
      <c r="A9" s="579"/>
      <c r="B9" s="582"/>
      <c r="C9" s="626"/>
      <c r="D9" s="254">
        <v>306</v>
      </c>
      <c r="E9" s="484" t="s">
        <v>85</v>
      </c>
      <c r="F9" s="256" t="s">
        <v>280</v>
      </c>
      <c r="G9" s="257">
        <v>10000</v>
      </c>
      <c r="H9" s="258">
        <v>1</v>
      </c>
      <c r="I9" s="258">
        <v>4</v>
      </c>
      <c r="J9" s="259">
        <f t="shared" si="1"/>
        <v>40000</v>
      </c>
      <c r="K9" s="260"/>
      <c r="L9" s="261"/>
      <c r="M9" s="29">
        <f t="shared" si="0"/>
      </c>
    </row>
    <row r="10" spans="1:13" ht="14.25">
      <c r="A10" s="580"/>
      <c r="B10" s="583"/>
      <c r="C10" s="627"/>
      <c r="D10" s="254">
        <v>307</v>
      </c>
      <c r="E10" s="484" t="s">
        <v>125</v>
      </c>
      <c r="F10" s="256" t="s">
        <v>308</v>
      </c>
      <c r="G10" s="257">
        <v>40000</v>
      </c>
      <c r="H10" s="258">
        <v>2</v>
      </c>
      <c r="I10" s="258">
        <v>1</v>
      </c>
      <c r="J10" s="259">
        <f t="shared" si="1"/>
        <v>80000</v>
      </c>
      <c r="K10" s="260"/>
      <c r="L10" s="261"/>
      <c r="M10" s="29">
        <f t="shared" si="0"/>
      </c>
    </row>
    <row r="11" spans="1:13" ht="13.5" customHeight="1">
      <c r="A11" s="578">
        <v>3</v>
      </c>
      <c r="B11" s="581" t="s">
        <v>300</v>
      </c>
      <c r="C11" s="584" t="s">
        <v>304</v>
      </c>
      <c r="D11" s="254">
        <v>308</v>
      </c>
      <c r="E11" s="484" t="s">
        <v>125</v>
      </c>
      <c r="F11" s="256" t="s">
        <v>309</v>
      </c>
      <c r="G11" s="265">
        <v>6000</v>
      </c>
      <c r="H11" s="266">
        <v>10</v>
      </c>
      <c r="I11" s="266">
        <v>1</v>
      </c>
      <c r="J11" s="259">
        <f t="shared" si="1"/>
        <v>60000</v>
      </c>
      <c r="K11" s="267"/>
      <c r="L11" s="268"/>
      <c r="M11" s="29">
        <f t="shared" si="0"/>
      </c>
    </row>
    <row r="12" spans="1:13" ht="14.25">
      <c r="A12" s="580"/>
      <c r="B12" s="583"/>
      <c r="C12" s="586"/>
      <c r="D12" s="254">
        <v>309</v>
      </c>
      <c r="E12" s="484" t="s">
        <v>125</v>
      </c>
      <c r="F12" s="256" t="s">
        <v>317</v>
      </c>
      <c r="G12" s="269">
        <v>200</v>
      </c>
      <c r="H12" s="270">
        <v>50</v>
      </c>
      <c r="I12" s="270">
        <v>1</v>
      </c>
      <c r="J12" s="259">
        <f t="shared" si="1"/>
        <v>10000</v>
      </c>
      <c r="K12" s="271"/>
      <c r="L12" s="272"/>
      <c r="M12" s="29">
        <f t="shared" si="0"/>
      </c>
    </row>
    <row r="13" spans="1:13" ht="14.25">
      <c r="A13" s="579">
        <v>4</v>
      </c>
      <c r="B13" s="582" t="s">
        <v>301</v>
      </c>
      <c r="C13" s="585" t="s">
        <v>305</v>
      </c>
      <c r="D13" s="254">
        <v>310</v>
      </c>
      <c r="E13" s="484" t="s">
        <v>125</v>
      </c>
      <c r="F13" s="256" t="s">
        <v>310</v>
      </c>
      <c r="G13" s="269">
        <v>5000</v>
      </c>
      <c r="H13" s="270">
        <v>10</v>
      </c>
      <c r="I13" s="270">
        <v>1</v>
      </c>
      <c r="J13" s="259">
        <f t="shared" si="1"/>
        <v>50000</v>
      </c>
      <c r="K13" s="260"/>
      <c r="L13" s="261"/>
      <c r="M13" s="29">
        <f t="shared" si="0"/>
      </c>
    </row>
    <row r="14" spans="1:13" ht="13.5" customHeight="1">
      <c r="A14" s="579"/>
      <c r="B14" s="582"/>
      <c r="C14" s="585"/>
      <c r="D14" s="254">
        <v>311</v>
      </c>
      <c r="E14" s="484" t="s">
        <v>125</v>
      </c>
      <c r="F14" s="256" t="s">
        <v>311</v>
      </c>
      <c r="G14" s="257">
        <v>2000</v>
      </c>
      <c r="H14" s="258">
        <v>8</v>
      </c>
      <c r="I14" s="258">
        <v>1</v>
      </c>
      <c r="J14" s="259">
        <f t="shared" si="1"/>
        <v>16000</v>
      </c>
      <c r="K14" s="274"/>
      <c r="L14" s="261"/>
      <c r="M14" s="29">
        <f t="shared" si="0"/>
      </c>
    </row>
    <row r="15" spans="1:13" ht="13.5">
      <c r="A15" s="580"/>
      <c r="B15" s="583"/>
      <c r="C15" s="586"/>
      <c r="D15" s="254">
        <v>312</v>
      </c>
      <c r="E15" s="256" t="s">
        <v>89</v>
      </c>
      <c r="F15" s="256" t="s">
        <v>312</v>
      </c>
      <c r="G15" s="276">
        <v>120000</v>
      </c>
      <c r="H15" s="277">
        <v>1</v>
      </c>
      <c r="I15" s="277">
        <v>1</v>
      </c>
      <c r="J15" s="259">
        <f t="shared" si="1"/>
        <v>120000</v>
      </c>
      <c r="K15" s="278"/>
      <c r="L15" s="279"/>
      <c r="M15" s="29">
        <f t="shared" si="0"/>
      </c>
    </row>
    <row r="16" spans="1:13" ht="13.5">
      <c r="A16" s="251">
        <v>5</v>
      </c>
      <c r="B16" s="485" t="s">
        <v>313</v>
      </c>
      <c r="C16" s="256" t="s">
        <v>314</v>
      </c>
      <c r="D16" s="254">
        <v>313</v>
      </c>
      <c r="E16" s="256" t="s">
        <v>85</v>
      </c>
      <c r="F16" s="256" t="s">
        <v>315</v>
      </c>
      <c r="G16" s="257">
        <v>20000</v>
      </c>
      <c r="H16" s="258">
        <v>1</v>
      </c>
      <c r="I16" s="258">
        <v>1</v>
      </c>
      <c r="J16" s="259">
        <f t="shared" si="1"/>
        <v>20000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74" t="s">
        <v>176</v>
      </c>
      <c r="I106" s="574"/>
      <c r="J106" s="574" t="s">
        <v>98</v>
      </c>
      <c r="K106" s="575"/>
    </row>
    <row r="107" spans="4:11" ht="14.25" thickTop="1">
      <c r="D107" s="230"/>
      <c r="F107" s="296" t="s">
        <v>85</v>
      </c>
      <c r="G107" s="358">
        <f>SUMIF($E$4:$E$103,F107,$J$4:$J$103)</f>
        <v>80000</v>
      </c>
      <c r="H107" s="549">
        <f>SUMIF($E$4:$E$103,F107,$M$4:$M$103)</f>
        <v>0</v>
      </c>
      <c r="I107" s="549"/>
      <c r="J107" s="549">
        <f aca="true" t="shared" si="4" ref="J107:J115">G107-H107</f>
        <v>80000</v>
      </c>
      <c r="K107" s="624"/>
    </row>
    <row r="108" spans="4:11" ht="13.5">
      <c r="D108" s="230"/>
      <c r="F108" s="297" t="s">
        <v>86</v>
      </c>
      <c r="G108" s="357">
        <f aca="true" t="shared" si="5" ref="G108:G115">SUMIF($E$4:$E$103,F108,$J$4:$J$103)</f>
        <v>0</v>
      </c>
      <c r="H108" s="527">
        <f aca="true" t="shared" si="6" ref="H108:H114">SUMIF($E$4:$E$103,F108,$M$4:$M$103)</f>
        <v>0</v>
      </c>
      <c r="I108" s="527"/>
      <c r="J108" s="527">
        <f t="shared" si="4"/>
        <v>0</v>
      </c>
      <c r="K108" s="530"/>
    </row>
    <row r="109" spans="4:11" ht="13.5">
      <c r="D109" s="230"/>
      <c r="F109" s="297" t="s">
        <v>125</v>
      </c>
      <c r="G109" s="357">
        <f t="shared" si="5"/>
        <v>415500</v>
      </c>
      <c r="H109" s="527">
        <f t="shared" si="6"/>
        <v>0</v>
      </c>
      <c r="I109" s="527"/>
      <c r="J109" s="527">
        <f t="shared" si="4"/>
        <v>415500</v>
      </c>
      <c r="K109" s="530"/>
    </row>
    <row r="110" spans="4:11" ht="13.5">
      <c r="D110" s="230"/>
      <c r="F110" s="297" t="s">
        <v>126</v>
      </c>
      <c r="G110" s="357">
        <f t="shared" si="5"/>
        <v>0</v>
      </c>
      <c r="H110" s="527">
        <f t="shared" si="6"/>
        <v>0</v>
      </c>
      <c r="I110" s="527"/>
      <c r="J110" s="527">
        <f t="shared" si="4"/>
        <v>0</v>
      </c>
      <c r="K110" s="530"/>
    </row>
    <row r="111" spans="4:11" ht="13.5">
      <c r="D111" s="230"/>
      <c r="F111" s="297" t="s">
        <v>87</v>
      </c>
      <c r="G111" s="357">
        <f t="shared" si="5"/>
        <v>0</v>
      </c>
      <c r="H111" s="527">
        <f t="shared" si="6"/>
        <v>0</v>
      </c>
      <c r="I111" s="527"/>
      <c r="J111" s="527">
        <f t="shared" si="4"/>
        <v>0</v>
      </c>
      <c r="K111" s="530"/>
    </row>
    <row r="112" spans="4:11" ht="13.5">
      <c r="D112" s="230"/>
      <c r="F112" s="297" t="s">
        <v>88</v>
      </c>
      <c r="G112" s="357">
        <f t="shared" si="5"/>
        <v>0</v>
      </c>
      <c r="H112" s="527">
        <f t="shared" si="6"/>
        <v>0</v>
      </c>
      <c r="I112" s="527"/>
      <c r="J112" s="527">
        <f t="shared" si="4"/>
        <v>0</v>
      </c>
      <c r="K112" s="530"/>
    </row>
    <row r="113" spans="4:11" ht="13.5">
      <c r="D113" s="230"/>
      <c r="F113" s="297" t="s">
        <v>89</v>
      </c>
      <c r="G113" s="357">
        <f t="shared" si="5"/>
        <v>120000</v>
      </c>
      <c r="H113" s="527">
        <f t="shared" si="6"/>
        <v>0</v>
      </c>
      <c r="I113" s="527"/>
      <c r="J113" s="527">
        <f t="shared" si="4"/>
        <v>120000</v>
      </c>
      <c r="K113" s="530"/>
    </row>
    <row r="114" spans="4:11" ht="13.5">
      <c r="D114" s="230"/>
      <c r="F114" s="297" t="s">
        <v>90</v>
      </c>
      <c r="G114" s="357">
        <f t="shared" si="5"/>
        <v>0</v>
      </c>
      <c r="H114" s="527">
        <f t="shared" si="6"/>
        <v>0</v>
      </c>
      <c r="I114" s="527"/>
      <c r="J114" s="527">
        <f t="shared" si="4"/>
        <v>0</v>
      </c>
      <c r="K114" s="530"/>
    </row>
    <row r="115" spans="4:11" ht="14.25" thickBot="1">
      <c r="D115" s="230"/>
      <c r="F115" s="296" t="s">
        <v>138</v>
      </c>
      <c r="G115" s="357">
        <f t="shared" si="5"/>
        <v>0</v>
      </c>
      <c r="H115" s="613">
        <f>SUMIF($E$4:$E$103,F115,$M$4:$M$103)+'2-3'!I122</f>
        <v>0</v>
      </c>
      <c r="I115" s="613"/>
      <c r="J115" s="613">
        <f t="shared" si="4"/>
        <v>0</v>
      </c>
      <c r="K115" s="614"/>
    </row>
    <row r="116" spans="4:11" ht="15" thickBot="1" thickTop="1">
      <c r="D116" s="387"/>
      <c r="F116" s="298" t="s">
        <v>15</v>
      </c>
      <c r="G116" s="359">
        <f>SUM(G107:G115)</f>
        <v>615500</v>
      </c>
      <c r="H116" s="610">
        <f>SUM(H107:I115)</f>
        <v>0</v>
      </c>
      <c r="I116" s="610"/>
      <c r="J116" s="610">
        <f>SUM(J107:K115)</f>
        <v>615500</v>
      </c>
      <c r="K116" s="611"/>
    </row>
  </sheetData>
  <sheetProtection sheet="1" formatCells="0" selectLockedCells="1"/>
  <mergeCells count="34">
    <mergeCell ref="C5:C6"/>
    <mergeCell ref="C7:C10"/>
    <mergeCell ref="C11:C12"/>
    <mergeCell ref="C13:C15"/>
    <mergeCell ref="A5:A6"/>
    <mergeCell ref="A7:A10"/>
    <mergeCell ref="A11:A12"/>
    <mergeCell ref="A13:A15"/>
    <mergeCell ref="B5:B6"/>
    <mergeCell ref="B7:B10"/>
    <mergeCell ref="B11:B12"/>
    <mergeCell ref="B13:B15"/>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s="24" customFormat="1" ht="24" customHeight="1" thickBot="1">
      <c r="A13" s="628"/>
      <c r="B13" s="594"/>
      <c r="C13" s="594"/>
      <c r="D13" s="594"/>
      <c r="E13" s="594"/>
      <c r="F13" s="594"/>
      <c r="G13" s="594"/>
      <c r="H13" s="594"/>
      <c r="I13" s="594"/>
      <c r="J13" s="594"/>
      <c r="K13" s="594"/>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29" t="s">
        <v>136</v>
      </c>
      <c r="C18" s="630"/>
      <c r="D18" s="630"/>
      <c r="E18" s="630"/>
      <c r="F18" s="630"/>
      <c r="G18" s="630"/>
      <c r="H18" s="630"/>
      <c r="I18" s="630"/>
      <c r="J18" s="630"/>
      <c r="K18" s="63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7"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4" t="s">
        <v>176</v>
      </c>
      <c r="I26" s="574"/>
      <c r="J26" s="574" t="s">
        <v>173</v>
      </c>
      <c r="K26" s="575"/>
    </row>
    <row r="27" spans="2:11" ht="13.5" customHeight="1" thickTop="1">
      <c r="B27" s="53"/>
      <c r="C27" s="53"/>
      <c r="D27" s="67"/>
      <c r="F27" s="296" t="s">
        <v>85</v>
      </c>
      <c r="G27" s="347">
        <f>SUMIF($E$4:$E$23,F27,$J$4:$J$23)</f>
        <v>0</v>
      </c>
      <c r="H27" s="549">
        <f>SUMIF($E$4:$E$23,F27,$M$4:$M$23)</f>
        <v>0</v>
      </c>
      <c r="I27" s="549"/>
      <c r="J27" s="549">
        <f aca="true" t="shared" si="2" ref="J27:J35">G27-H27</f>
        <v>0</v>
      </c>
      <c r="K27" s="624"/>
    </row>
    <row r="28" spans="2:11" ht="13.5" customHeight="1">
      <c r="B28" s="53"/>
      <c r="C28" s="53"/>
      <c r="D28" s="67"/>
      <c r="F28" s="297" t="s">
        <v>86</v>
      </c>
      <c r="G28" s="347">
        <f aca="true" t="shared" si="3" ref="G28:G35">SUMIF($E$4:$E$23,F28,$J$4:$J$23)</f>
        <v>0</v>
      </c>
      <c r="H28" s="527">
        <f aca="true" t="shared" si="4" ref="H28:H35">SUMIF($E$4:$E$23,F28,$M$4:$M$23)</f>
        <v>0</v>
      </c>
      <c r="I28" s="527"/>
      <c r="J28" s="527">
        <f t="shared" si="2"/>
        <v>0</v>
      </c>
      <c r="K28" s="530"/>
    </row>
    <row r="29" spans="2:11" ht="13.5" customHeight="1">
      <c r="B29" s="53"/>
      <c r="C29" s="53"/>
      <c r="D29" s="67"/>
      <c r="F29" s="297" t="s">
        <v>125</v>
      </c>
      <c r="G29" s="347">
        <f t="shared" si="3"/>
        <v>0</v>
      </c>
      <c r="H29" s="527">
        <f t="shared" si="4"/>
        <v>0</v>
      </c>
      <c r="I29" s="527"/>
      <c r="J29" s="527">
        <f t="shared" si="2"/>
        <v>0</v>
      </c>
      <c r="K29" s="530"/>
    </row>
    <row r="30" spans="2:11" ht="13.5" customHeight="1">
      <c r="B30" s="53"/>
      <c r="C30" s="53"/>
      <c r="D30" s="67"/>
      <c r="F30" s="297" t="s">
        <v>126</v>
      </c>
      <c r="G30" s="347">
        <f t="shared" si="3"/>
        <v>0</v>
      </c>
      <c r="H30" s="527">
        <f t="shared" si="4"/>
        <v>0</v>
      </c>
      <c r="I30" s="527"/>
      <c r="J30" s="527">
        <f t="shared" si="2"/>
        <v>0</v>
      </c>
      <c r="K30" s="530"/>
    </row>
    <row r="31" spans="2:11" ht="13.5" customHeight="1">
      <c r="B31" s="53"/>
      <c r="C31" s="53"/>
      <c r="D31" s="67"/>
      <c r="F31" s="297" t="s">
        <v>87</v>
      </c>
      <c r="G31" s="347">
        <f t="shared" si="3"/>
        <v>0</v>
      </c>
      <c r="H31" s="527">
        <f t="shared" si="4"/>
        <v>0</v>
      </c>
      <c r="I31" s="527"/>
      <c r="J31" s="527">
        <f t="shared" si="2"/>
        <v>0</v>
      </c>
      <c r="K31" s="530"/>
    </row>
    <row r="32" spans="2:11" ht="13.5" customHeight="1">
      <c r="B32" s="53"/>
      <c r="C32" s="53"/>
      <c r="D32" s="67"/>
      <c r="F32" s="297" t="s">
        <v>88</v>
      </c>
      <c r="G32" s="347">
        <f t="shared" si="3"/>
        <v>0</v>
      </c>
      <c r="H32" s="527">
        <f t="shared" si="4"/>
        <v>0</v>
      </c>
      <c r="I32" s="527"/>
      <c r="J32" s="527">
        <f t="shared" si="2"/>
        <v>0</v>
      </c>
      <c r="K32" s="530"/>
    </row>
    <row r="33" spans="2:11" ht="13.5" customHeight="1">
      <c r="B33" s="53"/>
      <c r="C33" s="53"/>
      <c r="D33" s="67"/>
      <c r="F33" s="297" t="s">
        <v>89</v>
      </c>
      <c r="G33" s="347">
        <f t="shared" si="3"/>
        <v>0</v>
      </c>
      <c r="H33" s="527">
        <f t="shared" si="4"/>
        <v>0</v>
      </c>
      <c r="I33" s="527"/>
      <c r="J33" s="527">
        <f t="shared" si="2"/>
        <v>0</v>
      </c>
      <c r="K33" s="530"/>
    </row>
    <row r="34" spans="2:11" ht="13.5" customHeight="1">
      <c r="B34" s="53"/>
      <c r="C34" s="53"/>
      <c r="D34" s="67"/>
      <c r="F34" s="297" t="s">
        <v>90</v>
      </c>
      <c r="G34" s="347">
        <f t="shared" si="3"/>
        <v>0</v>
      </c>
      <c r="H34" s="527">
        <f t="shared" si="4"/>
        <v>0</v>
      </c>
      <c r="I34" s="527"/>
      <c r="J34" s="527">
        <f t="shared" si="2"/>
        <v>0</v>
      </c>
      <c r="K34" s="530"/>
    </row>
    <row r="35" spans="2:11" ht="13.5" customHeight="1" thickBot="1">
      <c r="B35" s="53"/>
      <c r="C35" s="53"/>
      <c r="D35" s="67"/>
      <c r="F35" s="428" t="s">
        <v>138</v>
      </c>
      <c r="G35" s="430">
        <f t="shared" si="3"/>
        <v>0</v>
      </c>
      <c r="H35" s="613">
        <f t="shared" si="4"/>
        <v>0</v>
      </c>
      <c r="I35" s="613"/>
      <c r="J35" s="613">
        <f t="shared" si="2"/>
        <v>0</v>
      </c>
      <c r="K35" s="614"/>
    </row>
    <row r="36" spans="2:11" ht="13.5" customHeight="1" thickBot="1" thickTop="1">
      <c r="B36" s="53"/>
      <c r="C36" s="53"/>
      <c r="D36" s="47"/>
      <c r="F36" s="426" t="s">
        <v>15</v>
      </c>
      <c r="G36" s="356">
        <f>SUM(G27:G35)</f>
        <v>0</v>
      </c>
      <c r="H36" s="610">
        <f>SUM(H27:H35)</f>
        <v>0</v>
      </c>
      <c r="I36" s="610"/>
      <c r="J36" s="610">
        <f>SUM(J27:J35)</f>
        <v>0</v>
      </c>
      <c r="K36" s="61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268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93"/>
      <c r="H14" s="594"/>
      <c r="I14" s="594"/>
      <c r="J14" s="594"/>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70000</v>
      </c>
      <c r="C16" s="321">
        <f>'1-1'!C21</f>
        <v>0</v>
      </c>
      <c r="D16" s="321">
        <f>'1-1'!D21</f>
        <v>650000</v>
      </c>
      <c r="E16" s="321">
        <f>'1-1'!E21</f>
        <v>0</v>
      </c>
      <c r="F16" s="321">
        <f>'1-1'!F21</f>
        <v>0</v>
      </c>
      <c r="G16" s="321">
        <f>'1-1'!G21</f>
        <v>50000</v>
      </c>
      <c r="H16" s="321">
        <f>'1-1'!H21</f>
        <v>3964</v>
      </c>
      <c r="I16" s="321">
        <f>'1-1'!I21</f>
        <v>0</v>
      </c>
      <c r="J16" s="435">
        <f>'1-1'!J21</f>
        <v>50330</v>
      </c>
      <c r="K16" s="436">
        <f aca="true" t="shared" si="0" ref="K16:K22">SUM(B16:J16)</f>
        <v>824294</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3">
        <f>SUM(B16:B17)</f>
        <v>70000</v>
      </c>
      <c r="C20" s="223">
        <f aca="true" t="shared" si="2" ref="C20:J20">SUM(C16:C17)</f>
        <v>0</v>
      </c>
      <c r="D20" s="223">
        <f t="shared" si="2"/>
        <v>650000</v>
      </c>
      <c r="E20" s="223">
        <f t="shared" si="2"/>
        <v>0</v>
      </c>
      <c r="F20" s="223">
        <f t="shared" si="2"/>
        <v>0</v>
      </c>
      <c r="G20" s="223">
        <f t="shared" si="2"/>
        <v>50000</v>
      </c>
      <c r="H20" s="223">
        <f t="shared" si="2"/>
        <v>3964</v>
      </c>
      <c r="I20" s="223">
        <f t="shared" si="2"/>
        <v>0</v>
      </c>
      <c r="J20" s="223">
        <f t="shared" si="2"/>
        <v>50330</v>
      </c>
      <c r="K20" s="433">
        <f t="shared" si="0"/>
        <v>824294</v>
      </c>
    </row>
    <row r="21" spans="1:11" ht="39" customHeight="1">
      <c r="A21" s="21" t="s">
        <v>166</v>
      </c>
      <c r="B21" s="453">
        <f>'1-1'!B22</f>
        <v>30000</v>
      </c>
      <c r="C21" s="453">
        <f>'1-1'!C22</f>
        <v>0</v>
      </c>
      <c r="D21" s="453">
        <f>'1-1'!D22</f>
        <v>215000</v>
      </c>
      <c r="E21" s="453">
        <f>'1-1'!E22</f>
        <v>0</v>
      </c>
      <c r="F21" s="453">
        <f>'1-1'!F22</f>
        <v>0</v>
      </c>
      <c r="G21" s="453">
        <f>'1-1'!G22</f>
        <v>0</v>
      </c>
      <c r="H21" s="453">
        <f>'1-1'!H22</f>
        <v>120000</v>
      </c>
      <c r="I21" s="453">
        <f>'1-1'!I22</f>
        <v>0</v>
      </c>
      <c r="J21" s="453">
        <f>'1-1'!J22</f>
        <v>0</v>
      </c>
      <c r="K21" s="436">
        <f t="shared" si="0"/>
        <v>365000</v>
      </c>
    </row>
    <row r="22" spans="1:11" ht="39" customHeight="1" thickBot="1">
      <c r="A22" s="22" t="s">
        <v>164</v>
      </c>
      <c r="B22" s="219">
        <f>SUM(B20:B21)</f>
        <v>100000</v>
      </c>
      <c r="C22" s="219">
        <f aca="true" t="shared" si="3" ref="C22:J22">SUM(C20:C21)</f>
        <v>0</v>
      </c>
      <c r="D22" s="219">
        <f t="shared" si="3"/>
        <v>865000</v>
      </c>
      <c r="E22" s="219">
        <f t="shared" si="3"/>
        <v>0</v>
      </c>
      <c r="F22" s="219">
        <f t="shared" si="3"/>
        <v>0</v>
      </c>
      <c r="G22" s="219">
        <f t="shared" si="3"/>
        <v>50000</v>
      </c>
      <c r="H22" s="219">
        <f t="shared" si="3"/>
        <v>123964</v>
      </c>
      <c r="I22" s="219">
        <f t="shared" si="3"/>
        <v>0</v>
      </c>
      <c r="J22" s="219">
        <f t="shared" si="3"/>
        <v>50330</v>
      </c>
      <c r="K22" s="222">
        <f t="shared" si="0"/>
        <v>1189294</v>
      </c>
    </row>
    <row r="23" spans="1:11" ht="39" customHeight="1" thickBot="1">
      <c r="A23" s="32" t="s">
        <v>104</v>
      </c>
      <c r="B23" s="629" t="s">
        <v>136</v>
      </c>
      <c r="C23" s="630"/>
      <c r="D23" s="630"/>
      <c r="E23" s="630"/>
      <c r="F23" s="630"/>
      <c r="G23" s="630"/>
      <c r="H23" s="630"/>
      <c r="I23" s="630"/>
      <c r="J23" s="630"/>
      <c r="K23" s="631"/>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35"/>
      <c r="G36" s="635"/>
    </row>
    <row r="37" spans="1:12" ht="24" customHeight="1" thickBot="1">
      <c r="A37" s="53"/>
      <c r="B37" s="53"/>
      <c r="C37" s="53"/>
      <c r="D37" s="53"/>
      <c r="E37" s="239" t="s">
        <v>96</v>
      </c>
      <c r="F37" s="229" t="s">
        <v>109</v>
      </c>
      <c r="G37" s="156" t="s">
        <v>16</v>
      </c>
      <c r="H37" s="636" t="s">
        <v>245</v>
      </c>
      <c r="I37" s="637"/>
      <c r="J37" s="229" t="s">
        <v>108</v>
      </c>
      <c r="K37" s="540" t="s">
        <v>193</v>
      </c>
      <c r="L37" s="599"/>
    </row>
    <row r="38" spans="1:12" ht="14.25" thickTop="1">
      <c r="A38" s="53"/>
      <c r="B38" s="53"/>
      <c r="C38" s="53"/>
      <c r="D38" s="53"/>
      <c r="E38" s="296" t="s">
        <v>85</v>
      </c>
      <c r="F38" s="347">
        <f>'1-1'!B21</f>
        <v>70000</v>
      </c>
      <c r="G38" s="349">
        <f aca="true" t="shared" si="3" ref="G38:G46">-SUMIF($E$4:$E$18,$E38,$J$4:$J$18)+SUMIF($E$21:$E$35,$E38,$J$21:$J$35)</f>
        <v>0</v>
      </c>
      <c r="H38" s="549">
        <f aca="true" t="shared" si="4" ref="H38:H46">-SUMIF($E$4:$E$18,$E38,$M$4:$M$18)+SUMIF($E$21:$E$35,$E38,$M$21:$M$35)</f>
        <v>0</v>
      </c>
      <c r="I38" s="549"/>
      <c r="J38" s="348">
        <f aca="true" t="shared" si="5" ref="J38:J46">G38-H38</f>
        <v>0</v>
      </c>
      <c r="K38" s="549">
        <f aca="true" t="shared" si="6" ref="K38:K46">F38+G38</f>
        <v>70000</v>
      </c>
      <c r="L38" s="624"/>
    </row>
    <row r="39" spans="1:12" ht="13.5">
      <c r="A39" s="53"/>
      <c r="B39" s="53"/>
      <c r="C39" s="53"/>
      <c r="D39" s="53"/>
      <c r="E39" s="297" t="s">
        <v>86</v>
      </c>
      <c r="F39" s="351">
        <f>'1-1'!C21</f>
        <v>0</v>
      </c>
      <c r="G39" s="349">
        <f t="shared" si="3"/>
        <v>0</v>
      </c>
      <c r="H39" s="527">
        <f t="shared" si="4"/>
        <v>0</v>
      </c>
      <c r="I39" s="527"/>
      <c r="J39" s="351">
        <f t="shared" si="5"/>
        <v>0</v>
      </c>
      <c r="K39" s="527">
        <f t="shared" si="6"/>
        <v>0</v>
      </c>
      <c r="L39" s="530"/>
    </row>
    <row r="40" spans="1:12" ht="13.5">
      <c r="A40" s="53"/>
      <c r="B40" s="53"/>
      <c r="C40" s="53"/>
      <c r="D40" s="53"/>
      <c r="E40" s="297" t="s">
        <v>125</v>
      </c>
      <c r="F40" s="351">
        <f>'1-1'!D21</f>
        <v>650000</v>
      </c>
      <c r="G40" s="349">
        <f t="shared" si="3"/>
        <v>0</v>
      </c>
      <c r="H40" s="527">
        <f t="shared" si="4"/>
        <v>0</v>
      </c>
      <c r="I40" s="527"/>
      <c r="J40" s="351">
        <f t="shared" si="5"/>
        <v>0</v>
      </c>
      <c r="K40" s="527">
        <f t="shared" si="6"/>
        <v>650000</v>
      </c>
      <c r="L40" s="530"/>
    </row>
    <row r="41" spans="1:12" ht="13.5">
      <c r="A41" s="53"/>
      <c r="B41" s="53"/>
      <c r="C41" s="53"/>
      <c r="D41" s="53"/>
      <c r="E41" s="297" t="s">
        <v>126</v>
      </c>
      <c r="F41" s="351">
        <f>'1-1'!E21</f>
        <v>0</v>
      </c>
      <c r="G41" s="349">
        <f t="shared" si="3"/>
        <v>0</v>
      </c>
      <c r="H41" s="527">
        <f t="shared" si="4"/>
        <v>0</v>
      </c>
      <c r="I41" s="527"/>
      <c r="J41" s="351">
        <f t="shared" si="5"/>
        <v>0</v>
      </c>
      <c r="K41" s="527">
        <f t="shared" si="6"/>
        <v>0</v>
      </c>
      <c r="L41" s="530"/>
    </row>
    <row r="42" spans="1:12" ht="13.5">
      <c r="A42" s="53"/>
      <c r="B42" s="53"/>
      <c r="C42" s="53"/>
      <c r="D42" s="53"/>
      <c r="E42" s="297" t="s">
        <v>87</v>
      </c>
      <c r="F42" s="351">
        <f>'1-1'!F21</f>
        <v>0</v>
      </c>
      <c r="G42" s="349">
        <f t="shared" si="3"/>
        <v>0</v>
      </c>
      <c r="H42" s="527">
        <f t="shared" si="4"/>
        <v>0</v>
      </c>
      <c r="I42" s="527"/>
      <c r="J42" s="351">
        <f t="shared" si="5"/>
        <v>0</v>
      </c>
      <c r="K42" s="527">
        <f t="shared" si="6"/>
        <v>0</v>
      </c>
      <c r="L42" s="530"/>
    </row>
    <row r="43" spans="1:12" ht="13.5">
      <c r="A43" s="53"/>
      <c r="B43" s="53"/>
      <c r="C43" s="53"/>
      <c r="D43" s="53"/>
      <c r="E43" s="297" t="s">
        <v>88</v>
      </c>
      <c r="F43" s="351">
        <f>'1-1'!G21</f>
        <v>50000</v>
      </c>
      <c r="G43" s="349">
        <f t="shared" si="3"/>
        <v>0</v>
      </c>
      <c r="H43" s="527">
        <f t="shared" si="4"/>
        <v>0</v>
      </c>
      <c r="I43" s="527"/>
      <c r="J43" s="351">
        <f t="shared" si="5"/>
        <v>0</v>
      </c>
      <c r="K43" s="527">
        <f t="shared" si="6"/>
        <v>50000</v>
      </c>
      <c r="L43" s="530"/>
    </row>
    <row r="44" spans="1:12" ht="13.5">
      <c r="A44" s="53"/>
      <c r="B44" s="53"/>
      <c r="C44" s="53"/>
      <c r="D44" s="53"/>
      <c r="E44" s="297" t="s">
        <v>89</v>
      </c>
      <c r="F44" s="351">
        <f>'1-1'!H21</f>
        <v>3964</v>
      </c>
      <c r="G44" s="349">
        <f t="shared" si="3"/>
        <v>0</v>
      </c>
      <c r="H44" s="527">
        <f t="shared" si="4"/>
        <v>0</v>
      </c>
      <c r="I44" s="527"/>
      <c r="J44" s="351">
        <f t="shared" si="5"/>
        <v>0</v>
      </c>
      <c r="K44" s="527">
        <f t="shared" si="6"/>
        <v>3964</v>
      </c>
      <c r="L44" s="530"/>
    </row>
    <row r="45" spans="1:12" ht="13.5">
      <c r="A45" s="53"/>
      <c r="B45" s="53"/>
      <c r="C45" s="53"/>
      <c r="D45" s="53"/>
      <c r="E45" s="297" t="s">
        <v>90</v>
      </c>
      <c r="F45" s="351">
        <f>'1-1'!I21</f>
        <v>0</v>
      </c>
      <c r="G45" s="349">
        <f t="shared" si="3"/>
        <v>0</v>
      </c>
      <c r="H45" s="527">
        <f t="shared" si="4"/>
        <v>0</v>
      </c>
      <c r="I45" s="527"/>
      <c r="J45" s="351">
        <f t="shared" si="5"/>
        <v>0</v>
      </c>
      <c r="K45" s="527">
        <f t="shared" si="6"/>
        <v>0</v>
      </c>
      <c r="L45" s="530"/>
    </row>
    <row r="46" spans="1:12" ht="14.25" thickBot="1">
      <c r="A46" s="53"/>
      <c r="B46" s="53"/>
      <c r="C46" s="53"/>
      <c r="D46" s="53"/>
      <c r="E46" s="297" t="s">
        <v>138</v>
      </c>
      <c r="F46" s="398">
        <f>'1-1'!J21</f>
        <v>50330</v>
      </c>
      <c r="G46" s="349">
        <f t="shared" si="3"/>
        <v>0</v>
      </c>
      <c r="H46" s="613">
        <f t="shared" si="4"/>
        <v>0</v>
      </c>
      <c r="I46" s="613"/>
      <c r="J46" s="352">
        <f t="shared" si="5"/>
        <v>0</v>
      </c>
      <c r="K46" s="613">
        <f t="shared" si="6"/>
        <v>50330</v>
      </c>
      <c r="L46" s="614"/>
    </row>
    <row r="47" spans="1:12" ht="15" thickBot="1" thickTop="1">
      <c r="A47" s="53"/>
      <c r="B47" s="53"/>
      <c r="C47" s="53"/>
      <c r="D47" s="53"/>
      <c r="E47" s="399" t="s">
        <v>15</v>
      </c>
      <c r="F47" s="354">
        <f>SUM(F38:F46)</f>
        <v>824294</v>
      </c>
      <c r="G47" s="355">
        <f>SUM(G38:G46)</f>
        <v>0</v>
      </c>
      <c r="H47" s="632">
        <f>SUM(H38:I46)</f>
        <v>0</v>
      </c>
      <c r="I47" s="634"/>
      <c r="J47" s="356">
        <f>SUM(J38:J46)</f>
        <v>0</v>
      </c>
      <c r="K47" s="632">
        <f>SUM(K38:L46)</f>
        <v>824294</v>
      </c>
      <c r="L47" s="63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2" t="s">
        <v>14</v>
      </c>
      <c r="I1" s="502"/>
      <c r="J1" s="502"/>
      <c r="K1" s="502"/>
    </row>
    <row r="2" spans="8:11" s="1" customFormat="1" ht="18" customHeight="1">
      <c r="H2" s="502" t="s">
        <v>7</v>
      </c>
      <c r="I2" s="502"/>
      <c r="J2" s="502"/>
      <c r="K2" s="502"/>
    </row>
    <row r="3" s="1" customFormat="1" ht="18" customHeight="1">
      <c r="K3" s="2"/>
    </row>
    <row r="4" spans="8:11" s="1" customFormat="1" ht="18" customHeight="1">
      <c r="H4" s="503" t="s">
        <v>6</v>
      </c>
      <c r="I4" s="503"/>
      <c r="J4" s="503"/>
      <c r="K4" s="503"/>
    </row>
    <row r="5" spans="8:11" s="1" customFormat="1" ht="18" customHeight="1">
      <c r="H5" s="503" t="s">
        <v>145</v>
      </c>
      <c r="I5" s="503"/>
      <c r="J5" s="503"/>
      <c r="K5" s="503"/>
    </row>
    <row r="6" spans="1:11" s="1" customFormat="1" ht="18" customHeight="1">
      <c r="A6" s="3" t="s">
        <v>2</v>
      </c>
      <c r="H6" s="4"/>
      <c r="K6" s="11"/>
    </row>
    <row r="7" spans="1:11" s="1" customFormat="1" ht="18" customHeight="1">
      <c r="A7" s="4"/>
      <c r="H7" s="503" t="s">
        <v>3</v>
      </c>
      <c r="I7" s="503"/>
      <c r="J7" s="503"/>
      <c r="K7" s="503"/>
    </row>
    <row r="8" spans="1:11" s="1" customFormat="1" ht="18" customHeight="1">
      <c r="A8" s="4"/>
      <c r="H8" s="503" t="s">
        <v>4</v>
      </c>
      <c r="I8" s="503"/>
      <c r="J8" s="503"/>
      <c r="K8" s="503"/>
    </row>
    <row r="9" spans="1:11" s="1" customFormat="1" ht="42" customHeight="1">
      <c r="A9" s="4"/>
      <c r="H9" s="2"/>
      <c r="K9" s="46"/>
    </row>
    <row r="10" spans="1:11" ht="24" customHeight="1">
      <c r="A10" s="491" t="s">
        <v>270</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f>'1-1'!D14:F14</f>
        <v>1190000</v>
      </c>
      <c r="E14" s="497"/>
      <c r="F14" s="498"/>
      <c r="G14" s="593"/>
      <c r="H14" s="594"/>
      <c r="I14" s="594"/>
      <c r="J14" s="594"/>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80000</v>
      </c>
      <c r="C16" s="434">
        <f>'2-1'!C23</f>
        <v>0</v>
      </c>
      <c r="D16" s="434">
        <f>'2-1'!D23</f>
        <v>415500</v>
      </c>
      <c r="E16" s="434">
        <f>'2-1'!E23</f>
        <v>0</v>
      </c>
      <c r="F16" s="434">
        <f>'2-1'!F23</f>
        <v>0</v>
      </c>
      <c r="G16" s="434">
        <f>'2-1'!G23</f>
        <v>0</v>
      </c>
      <c r="H16" s="434">
        <f>'2-1'!H23</f>
        <v>120000</v>
      </c>
      <c r="I16" s="434">
        <f>'2-1'!I23</f>
        <v>0</v>
      </c>
      <c r="J16" s="434">
        <f>'2-1'!J23</f>
        <v>0</v>
      </c>
      <c r="K16" s="436">
        <f aca="true" t="shared" si="0" ref="K16:K23">SUM(B16:J16)</f>
        <v>615500</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80000</v>
      </c>
      <c r="C18" s="437">
        <f aca="true" t="shared" si="1" ref="C18:J18">C16-C17</f>
        <v>0</v>
      </c>
      <c r="D18" s="437">
        <f t="shared" si="1"/>
        <v>415500</v>
      </c>
      <c r="E18" s="437">
        <f t="shared" si="1"/>
        <v>0</v>
      </c>
      <c r="F18" s="437">
        <f t="shared" si="1"/>
        <v>0</v>
      </c>
      <c r="G18" s="437">
        <f t="shared" si="1"/>
        <v>0</v>
      </c>
      <c r="H18" s="437">
        <f t="shared" si="1"/>
        <v>120000</v>
      </c>
      <c r="I18" s="437">
        <f t="shared" si="1"/>
        <v>0</v>
      </c>
      <c r="J18" s="437">
        <f t="shared" si="1"/>
        <v>0</v>
      </c>
      <c r="K18" s="440">
        <f t="shared" si="0"/>
        <v>615500</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80000</v>
      </c>
      <c r="C22" s="223">
        <f aca="true" t="shared" si="3" ref="C22:J22">C16+C19</f>
        <v>0</v>
      </c>
      <c r="D22" s="223">
        <f t="shared" si="3"/>
        <v>415500</v>
      </c>
      <c r="E22" s="223">
        <f t="shared" si="3"/>
        <v>0</v>
      </c>
      <c r="F22" s="223">
        <f t="shared" si="3"/>
        <v>0</v>
      </c>
      <c r="G22" s="223">
        <f t="shared" si="3"/>
        <v>0</v>
      </c>
      <c r="H22" s="223">
        <f t="shared" si="3"/>
        <v>120000</v>
      </c>
      <c r="I22" s="223">
        <f t="shared" si="3"/>
        <v>0</v>
      </c>
      <c r="J22" s="223">
        <f t="shared" si="3"/>
        <v>0</v>
      </c>
      <c r="K22" s="433">
        <f t="shared" si="0"/>
        <v>615500</v>
      </c>
    </row>
    <row r="23" spans="1:11" ht="39" customHeight="1" thickBot="1">
      <c r="A23" s="22" t="s">
        <v>170</v>
      </c>
      <c r="B23" s="219">
        <f>'2-1'!B19+'随時③-1'!B22</f>
        <v>100000</v>
      </c>
      <c r="C23" s="219">
        <f>'2-1'!C19+'随時③-1'!C22</f>
        <v>0</v>
      </c>
      <c r="D23" s="219">
        <f>'2-1'!D19+'随時③-1'!D22</f>
        <v>875997.8</v>
      </c>
      <c r="E23" s="219">
        <f>'2-1'!E19+'随時③-1'!E22</f>
        <v>0</v>
      </c>
      <c r="F23" s="219">
        <f>'2-1'!F19+'随時③-1'!F22</f>
        <v>0</v>
      </c>
      <c r="G23" s="219">
        <f>'2-1'!G19+'随時③-1'!G22</f>
        <v>40932</v>
      </c>
      <c r="H23" s="219">
        <f>'2-1'!H19+'随時③-1'!H22</f>
        <v>123964</v>
      </c>
      <c r="I23" s="219">
        <f>'2-1'!I19+'随時③-1'!I22</f>
        <v>0</v>
      </c>
      <c r="J23" s="219">
        <f>'2-1'!J19+'随時③-1'!J22</f>
        <v>48330</v>
      </c>
      <c r="K23" s="222">
        <f t="shared" si="0"/>
        <v>1189223.8</v>
      </c>
    </row>
    <row r="24" spans="1:11" ht="39" customHeight="1" thickBot="1">
      <c r="A24" s="32" t="s">
        <v>104</v>
      </c>
      <c r="B24" s="638" t="s">
        <v>122</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35"/>
      <c r="G36" s="635"/>
    </row>
    <row r="37" spans="1:12" ht="24" customHeight="1" thickBot="1">
      <c r="A37" s="53"/>
      <c r="B37" s="53"/>
      <c r="C37" s="53"/>
      <c r="E37" s="239" t="s">
        <v>96</v>
      </c>
      <c r="F37" s="229" t="s">
        <v>172</v>
      </c>
      <c r="G37" s="229" t="s">
        <v>16</v>
      </c>
      <c r="H37" s="636" t="s">
        <v>245</v>
      </c>
      <c r="I37" s="637"/>
      <c r="J37" s="156" t="s">
        <v>108</v>
      </c>
      <c r="K37" s="615" t="s">
        <v>194</v>
      </c>
      <c r="L37" s="616"/>
    </row>
    <row r="38" spans="1:12" ht="14.25" thickTop="1">
      <c r="A38" s="53"/>
      <c r="B38" s="53"/>
      <c r="C38" s="53"/>
      <c r="E38" s="297" t="s">
        <v>85</v>
      </c>
      <c r="F38" s="347">
        <f>'2-1'!B23</f>
        <v>80000</v>
      </c>
      <c r="G38" s="347">
        <f aca="true" t="shared" si="3" ref="G38:G46">-SUMIF($E$4:$E$18,$E38,$J$4:$J$18)+SUMIF($E$21:$E$35,$E38,$J$21:$J$35)</f>
        <v>0</v>
      </c>
      <c r="H38" s="550">
        <f aca="true" t="shared" si="4" ref="H38:H46">-SUMIF($E$4:$E$18,$E38,$M$4:$M$18)+SUMIF($E$21:$E$35,$E38,$M$21:$M$35)</f>
        <v>0</v>
      </c>
      <c r="I38" s="606"/>
      <c r="J38" s="349">
        <f aca="true" t="shared" si="5" ref="J38:J46">G38-H38</f>
        <v>0</v>
      </c>
      <c r="K38" s="531">
        <f aca="true" t="shared" si="6" ref="K38:K46">F38+G38</f>
        <v>80000</v>
      </c>
      <c r="L38" s="617"/>
    </row>
    <row r="39" spans="1:12" ht="13.5">
      <c r="A39" s="53"/>
      <c r="B39" s="53"/>
      <c r="C39" s="53"/>
      <c r="E39" s="297" t="s">
        <v>86</v>
      </c>
      <c r="F39" s="351">
        <f>'2-1'!C23</f>
        <v>0</v>
      </c>
      <c r="G39" s="347">
        <f t="shared" si="3"/>
        <v>0</v>
      </c>
      <c r="H39" s="528">
        <f t="shared" si="4"/>
        <v>0</v>
      </c>
      <c r="I39" s="595"/>
      <c r="J39" s="349">
        <f t="shared" si="5"/>
        <v>0</v>
      </c>
      <c r="K39" s="531">
        <f t="shared" si="6"/>
        <v>0</v>
      </c>
      <c r="L39" s="617"/>
    </row>
    <row r="40" spans="1:12" ht="13.5">
      <c r="A40" s="53"/>
      <c r="B40" s="53"/>
      <c r="C40" s="53"/>
      <c r="E40" s="297" t="s">
        <v>125</v>
      </c>
      <c r="F40" s="351">
        <f>'2-1'!D23</f>
        <v>415500</v>
      </c>
      <c r="G40" s="347">
        <f t="shared" si="3"/>
        <v>0</v>
      </c>
      <c r="H40" s="528">
        <f t="shared" si="4"/>
        <v>0</v>
      </c>
      <c r="I40" s="595"/>
      <c r="J40" s="349">
        <f t="shared" si="5"/>
        <v>0</v>
      </c>
      <c r="K40" s="531">
        <f t="shared" si="6"/>
        <v>415500</v>
      </c>
      <c r="L40" s="617"/>
    </row>
    <row r="41" spans="1:12" ht="13.5">
      <c r="A41" s="53"/>
      <c r="B41" s="53"/>
      <c r="C41" s="53"/>
      <c r="E41" s="297" t="s">
        <v>126</v>
      </c>
      <c r="F41" s="351">
        <f>'2-1'!E23</f>
        <v>0</v>
      </c>
      <c r="G41" s="347">
        <f t="shared" si="3"/>
        <v>0</v>
      </c>
      <c r="H41" s="528">
        <f t="shared" si="4"/>
        <v>0</v>
      </c>
      <c r="I41" s="595"/>
      <c r="J41" s="349">
        <f t="shared" si="5"/>
        <v>0</v>
      </c>
      <c r="K41" s="531">
        <f t="shared" si="6"/>
        <v>0</v>
      </c>
      <c r="L41" s="617"/>
    </row>
    <row r="42" spans="1:12" ht="13.5">
      <c r="A42" s="53"/>
      <c r="B42" s="53"/>
      <c r="C42" s="53"/>
      <c r="E42" s="297" t="s">
        <v>87</v>
      </c>
      <c r="F42" s="351">
        <f>'2-1'!F23</f>
        <v>0</v>
      </c>
      <c r="G42" s="347">
        <f t="shared" si="3"/>
        <v>0</v>
      </c>
      <c r="H42" s="528">
        <f t="shared" si="4"/>
        <v>0</v>
      </c>
      <c r="I42" s="595"/>
      <c r="J42" s="349">
        <f t="shared" si="5"/>
        <v>0</v>
      </c>
      <c r="K42" s="531">
        <f t="shared" si="6"/>
        <v>0</v>
      </c>
      <c r="L42" s="617"/>
    </row>
    <row r="43" spans="1:12" ht="13.5">
      <c r="A43" s="53"/>
      <c r="B43" s="53"/>
      <c r="C43" s="53"/>
      <c r="E43" s="297" t="s">
        <v>88</v>
      </c>
      <c r="F43" s="351">
        <f>'2-1'!G23</f>
        <v>0</v>
      </c>
      <c r="G43" s="347">
        <f t="shared" si="3"/>
        <v>0</v>
      </c>
      <c r="H43" s="528">
        <f t="shared" si="4"/>
        <v>0</v>
      </c>
      <c r="I43" s="595"/>
      <c r="J43" s="349">
        <f t="shared" si="5"/>
        <v>0</v>
      </c>
      <c r="K43" s="531">
        <f t="shared" si="6"/>
        <v>0</v>
      </c>
      <c r="L43" s="617"/>
    </row>
    <row r="44" spans="1:12" ht="13.5">
      <c r="A44" s="53"/>
      <c r="B44" s="53"/>
      <c r="C44" s="53"/>
      <c r="E44" s="297" t="s">
        <v>89</v>
      </c>
      <c r="F44" s="351">
        <f>'2-1'!H23</f>
        <v>120000</v>
      </c>
      <c r="G44" s="347">
        <f t="shared" si="3"/>
        <v>0</v>
      </c>
      <c r="H44" s="528">
        <f t="shared" si="4"/>
        <v>0</v>
      </c>
      <c r="I44" s="595"/>
      <c r="J44" s="349">
        <f t="shared" si="5"/>
        <v>0</v>
      </c>
      <c r="K44" s="531">
        <f t="shared" si="6"/>
        <v>120000</v>
      </c>
      <c r="L44" s="617"/>
    </row>
    <row r="45" spans="1:12" ht="13.5">
      <c r="A45" s="53"/>
      <c r="B45" s="53"/>
      <c r="C45" s="53"/>
      <c r="E45" s="297" t="s">
        <v>90</v>
      </c>
      <c r="F45" s="351">
        <f>'2-1'!I23</f>
        <v>0</v>
      </c>
      <c r="G45" s="347">
        <f t="shared" si="3"/>
        <v>0</v>
      </c>
      <c r="H45" s="528">
        <f t="shared" si="4"/>
        <v>0</v>
      </c>
      <c r="I45" s="595"/>
      <c r="J45" s="349">
        <f t="shared" si="5"/>
        <v>0</v>
      </c>
      <c r="K45" s="531">
        <f t="shared" si="6"/>
        <v>0</v>
      </c>
      <c r="L45" s="617"/>
    </row>
    <row r="46" spans="1:12" ht="14.25" thickBot="1">
      <c r="A46" s="53"/>
      <c r="B46" s="53"/>
      <c r="C46" s="53"/>
      <c r="E46" s="297" t="s">
        <v>138</v>
      </c>
      <c r="F46" s="398">
        <f>'2-1'!J23</f>
        <v>0</v>
      </c>
      <c r="G46" s="347">
        <f t="shared" si="3"/>
        <v>0</v>
      </c>
      <c r="H46" s="640">
        <f t="shared" si="4"/>
        <v>0</v>
      </c>
      <c r="I46" s="641"/>
      <c r="J46" s="349">
        <f t="shared" si="5"/>
        <v>0</v>
      </c>
      <c r="K46" s="613">
        <f t="shared" si="6"/>
        <v>0</v>
      </c>
      <c r="L46" s="614"/>
    </row>
    <row r="47" spans="1:12" ht="15" thickBot="1" thickTop="1">
      <c r="A47" s="53"/>
      <c r="B47" s="53"/>
      <c r="C47" s="53"/>
      <c r="E47" s="399" t="s">
        <v>15</v>
      </c>
      <c r="F47" s="354">
        <f>SUM(F38:F46)</f>
        <v>615500</v>
      </c>
      <c r="G47" s="354">
        <f>SUM(G38:G46)</f>
        <v>0</v>
      </c>
      <c r="H47" s="639">
        <f>SUM(H38:I46)</f>
        <v>0</v>
      </c>
      <c r="I47" s="634"/>
      <c r="J47" s="355">
        <f>SUM(J38:J46)</f>
        <v>0</v>
      </c>
      <c r="K47" s="610">
        <f>SUM(K38:L46)</f>
        <v>615500</v>
      </c>
      <c r="L47" s="61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7" t="s">
        <v>143</v>
      </c>
      <c r="G2" s="545"/>
      <c r="H2" s="545"/>
      <c r="I2" s="545"/>
      <c r="J2" s="548"/>
      <c r="K2" s="544" t="s">
        <v>115</v>
      </c>
      <c r="L2" s="545"/>
      <c r="M2" s="545"/>
      <c r="N2" s="545"/>
      <c r="O2" s="546"/>
      <c r="P2" s="13"/>
    </row>
    <row r="3" spans="1:21" ht="30"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50330</v>
      </c>
      <c r="H4" s="304">
        <f>'2-2'!H4</f>
        <v>1</v>
      </c>
      <c r="I4" s="304">
        <f>'2-2'!I4</f>
        <v>1</v>
      </c>
      <c r="J4" s="365">
        <f>'2-2'!J4</f>
        <v>50330</v>
      </c>
      <c r="K4" s="366" t="str">
        <f>'2-2'!K4</f>
        <v>各種団体負担金（会費）</v>
      </c>
      <c r="L4" s="303">
        <f>'2-2'!L4</f>
        <v>48330</v>
      </c>
      <c r="M4" s="304">
        <f>'2-2'!M4</f>
        <v>1</v>
      </c>
      <c r="N4" s="304">
        <f>'2-2'!N4</f>
        <v>1</v>
      </c>
      <c r="O4" s="367">
        <f>L4*M4*N4</f>
        <v>48330</v>
      </c>
      <c r="P4" s="368">
        <f>'2-2'!P4</f>
        <v>0</v>
      </c>
      <c r="Q4" s="369"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70">
        <f>'1-2'!A5</f>
        <v>1</v>
      </c>
      <c r="B5" s="371" t="str">
        <f>'1-2'!B5</f>
        <v>1-(1)-オ</v>
      </c>
      <c r="C5" s="372" t="str">
        <f>'1-2'!C5</f>
        <v>学校経営上の数値目標</v>
      </c>
      <c r="D5" s="254">
        <v>2</v>
      </c>
      <c r="E5" s="314" t="str">
        <f>'2-2'!E5</f>
        <v>委託料</v>
      </c>
      <c r="F5" s="315" t="str">
        <f>'2-2'!F5</f>
        <v>授業アンケートシステム運用業務委託</v>
      </c>
      <c r="G5" s="224">
        <f>'2-2'!G5</f>
        <v>50000</v>
      </c>
      <c r="H5" s="316">
        <f>'2-2'!H5</f>
        <v>1</v>
      </c>
      <c r="I5" s="316">
        <f>'2-2'!I5</f>
        <v>1</v>
      </c>
      <c r="J5" s="373">
        <f>'2-2'!J5</f>
        <v>50000</v>
      </c>
      <c r="K5" s="374" t="str">
        <f>'2-2'!K5</f>
        <v>授業アンケートシステム運用業務委託</v>
      </c>
      <c r="L5" s="224">
        <f>'2-2'!L5</f>
        <v>40932</v>
      </c>
      <c r="M5" s="316">
        <f>'2-2'!M5</f>
        <v>1</v>
      </c>
      <c r="N5" s="316">
        <f>'2-2'!N5</f>
        <v>1</v>
      </c>
      <c r="O5" s="342">
        <f>L5*M5*N5</f>
        <v>40932</v>
      </c>
      <c r="P5" s="375">
        <f>'2-2'!P5</f>
        <v>0</v>
      </c>
      <c r="Q5" s="376">
        <f>'2-2'!Q5</f>
        <v>0</v>
      </c>
      <c r="R5" s="25">
        <f>IF(AND(ISNA(MATCH($D5,'随時②-2'!$D$4:$D$18,0)),ISNA(MATCH($D5,'随時③-2'!$D$4:$D$18,0))),0,1)</f>
        <v>0</v>
      </c>
      <c r="S5" s="63">
        <f t="shared" si="0"/>
      </c>
      <c r="T5" s="63">
        <f t="shared" si="1"/>
      </c>
      <c r="U5" s="5">
        <f aca="true" t="shared" si="2" ref="U5:U15">IF($E5=0,"",VLOOKUP($E5,$V$5:$X$13,2))</f>
        <v>6</v>
      </c>
      <c r="V5" s="5" t="s">
        <v>152</v>
      </c>
      <c r="W5" s="5">
        <v>6</v>
      </c>
    </row>
    <row r="6" spans="1:23" ht="30" customHeight="1">
      <c r="A6" s="370">
        <f>'1-2'!A6</f>
        <v>0</v>
      </c>
      <c r="B6" s="371">
        <f>'1-2'!B6</f>
        <v>0</v>
      </c>
      <c r="C6" s="372">
        <f>'1-2'!C6</f>
        <v>0</v>
      </c>
      <c r="D6" s="254">
        <v>3</v>
      </c>
      <c r="E6" s="314" t="str">
        <f>'2-2'!E6</f>
        <v>消耗需用費</v>
      </c>
      <c r="F6" s="315" t="str">
        <f>'2-2'!F6</f>
        <v>スキャナー</v>
      </c>
      <c r="G6" s="224">
        <f>'2-2'!G6</f>
        <v>80000</v>
      </c>
      <c r="H6" s="316">
        <f>'2-2'!H6</f>
        <v>1</v>
      </c>
      <c r="I6" s="316">
        <f>'2-2'!I6</f>
        <v>1</v>
      </c>
      <c r="J6" s="373">
        <f>'2-2'!J6</f>
        <v>80000</v>
      </c>
      <c r="K6" s="374" t="str">
        <f>'2-2'!K6</f>
        <v>スキャナー</v>
      </c>
      <c r="L6" s="224">
        <f>'2-2'!L6</f>
        <v>42098</v>
      </c>
      <c r="M6" s="316">
        <f>'2-2'!M6</f>
        <v>1</v>
      </c>
      <c r="N6" s="316">
        <f>'2-2'!N6</f>
        <v>1</v>
      </c>
      <c r="O6" s="342">
        <f aca="true" t="shared" si="3" ref="O6:O15">L6*M6*N6</f>
        <v>42098</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2</v>
      </c>
      <c r="B7" s="371" t="str">
        <f>'1-2'!B7</f>
        <v>1-(2)-ア</v>
      </c>
      <c r="C7" s="372" t="str">
        <f>'1-2'!C7</f>
        <v>専門コース演習科目の内容充実</v>
      </c>
      <c r="D7" s="254">
        <v>4</v>
      </c>
      <c r="E7" s="314" t="str">
        <f>'2-2'!E7</f>
        <v>報償費</v>
      </c>
      <c r="F7" s="315" t="str">
        <f>'2-2'!F7</f>
        <v>CSP研修講師謝礼</v>
      </c>
      <c r="G7" s="224">
        <f>'2-2'!G7</f>
        <v>10000</v>
      </c>
      <c r="H7" s="316">
        <f>'2-2'!H7</f>
        <v>1</v>
      </c>
      <c r="I7" s="316">
        <f>'2-2'!I7</f>
        <v>2</v>
      </c>
      <c r="J7" s="373">
        <f>'2-2'!J7</f>
        <v>20000</v>
      </c>
      <c r="K7" s="374" t="str">
        <f>'2-2'!K7</f>
        <v>CSP研修講師謝礼</v>
      </c>
      <c r="L7" s="224">
        <f>'2-2'!L7</f>
        <v>10000</v>
      </c>
      <c r="M7" s="316">
        <f>'2-2'!M7</f>
        <v>1</v>
      </c>
      <c r="N7" s="316">
        <f>'2-2'!N7</f>
        <v>1</v>
      </c>
      <c r="O7" s="342">
        <f t="shared" si="3"/>
        <v>10000</v>
      </c>
      <c r="P7" s="375">
        <f>'2-2'!P7</f>
        <v>0</v>
      </c>
      <c r="Q7" s="376">
        <f>'2-2'!Q7</f>
        <v>0</v>
      </c>
      <c r="R7" s="25">
        <f>IF(AND(ISNA(MATCH($D7,'随時②-2'!$D$4:$D$18,0)),ISNA(MATCH($D7,'随時③-2'!$D$4:$D$18,0))),0,1)</f>
        <v>0</v>
      </c>
      <c r="S7" s="63">
        <f t="shared" si="0"/>
      </c>
      <c r="T7" s="63">
        <f t="shared" si="1"/>
      </c>
      <c r="U7" s="5">
        <f t="shared" si="2"/>
        <v>1</v>
      </c>
      <c r="V7" s="5" t="s">
        <v>154</v>
      </c>
      <c r="W7" s="5">
        <v>7</v>
      </c>
    </row>
    <row r="8" spans="1:23" ht="30" customHeight="1">
      <c r="A8" s="370">
        <f>'1-2'!A8</f>
        <v>0</v>
      </c>
      <c r="B8" s="371">
        <f>'1-2'!B8</f>
        <v>0</v>
      </c>
      <c r="C8" s="372">
        <f>'1-2'!C8</f>
        <v>0</v>
      </c>
      <c r="D8" s="263">
        <v>5</v>
      </c>
      <c r="E8" s="314" t="str">
        <f>'2-2'!E8</f>
        <v>報償費</v>
      </c>
      <c r="F8" s="315" t="str">
        <f>'2-2'!F8</f>
        <v>保育表現演習講師謝礼</v>
      </c>
      <c r="G8" s="224">
        <f>'2-2'!G8</f>
        <v>10000</v>
      </c>
      <c r="H8" s="316">
        <f>'2-2'!H8</f>
        <v>1</v>
      </c>
      <c r="I8" s="316">
        <f>'2-2'!I8</f>
        <v>1</v>
      </c>
      <c r="J8" s="373">
        <f>'2-2'!J8</f>
        <v>10000</v>
      </c>
      <c r="K8" s="374" t="str">
        <f>'2-2'!K8</f>
        <v>保育表現演習講師謝礼</v>
      </c>
      <c r="L8" s="224">
        <f>'2-2'!L8</f>
        <v>0</v>
      </c>
      <c r="M8" s="316">
        <f>'2-2'!M8</f>
        <v>1</v>
      </c>
      <c r="N8" s="316">
        <f>'2-2'!N8</f>
        <v>1</v>
      </c>
      <c r="O8" s="342">
        <f t="shared" si="3"/>
        <v>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f>'1-2'!A9</f>
        <v>0</v>
      </c>
      <c r="B9" s="371">
        <f>'1-2'!B9</f>
        <v>0</v>
      </c>
      <c r="C9" s="372">
        <f>'1-2'!C9</f>
        <v>0</v>
      </c>
      <c r="D9" s="254">
        <v>6</v>
      </c>
      <c r="E9" s="314" t="str">
        <f>'2-2'!E9</f>
        <v>報償費</v>
      </c>
      <c r="F9" s="315" t="str">
        <f>'2-2'!F9</f>
        <v>介護総合演習講師謝礼</v>
      </c>
      <c r="G9" s="224">
        <f>'2-2'!G9</f>
        <v>5000</v>
      </c>
      <c r="H9" s="316">
        <f>'2-2'!H9</f>
        <v>1</v>
      </c>
      <c r="I9" s="316">
        <f>'2-2'!I9</f>
        <v>8</v>
      </c>
      <c r="J9" s="373">
        <f>'2-2'!J9</f>
        <v>40000</v>
      </c>
      <c r="K9" s="374" t="str">
        <f>'2-2'!K9</f>
        <v>介護総合演習講師謝礼</v>
      </c>
      <c r="L9" s="224">
        <f>'2-2'!L9</f>
        <v>10000</v>
      </c>
      <c r="M9" s="316">
        <f>'2-2'!M9</f>
        <v>1</v>
      </c>
      <c r="N9" s="316">
        <f>'2-2'!N9</f>
        <v>1</v>
      </c>
      <c r="O9" s="342">
        <f t="shared" si="3"/>
        <v>10000</v>
      </c>
      <c r="P9" s="375">
        <f>'2-2'!P9</f>
        <v>0</v>
      </c>
      <c r="Q9" s="376">
        <f>'2-2'!Q9</f>
        <v>0</v>
      </c>
      <c r="R9" s="25">
        <f>IF(AND(ISNA(MATCH($D9,'随時②-2'!$D$4:$D$18,0)),ISNA(MATCH($D9,'随時③-2'!$D$4:$D$18,0))),0,1)</f>
        <v>0</v>
      </c>
      <c r="S9" s="63">
        <f t="shared" si="0"/>
      </c>
      <c r="T9" s="63">
        <f t="shared" si="1"/>
      </c>
      <c r="U9" s="5">
        <f t="shared" si="2"/>
        <v>1</v>
      </c>
      <c r="V9" s="5" t="s">
        <v>156</v>
      </c>
      <c r="W9" s="5">
        <v>8</v>
      </c>
    </row>
    <row r="10" spans="1:23" ht="30" customHeight="1">
      <c r="A10" s="370">
        <f>'1-2'!A10</f>
        <v>0</v>
      </c>
      <c r="B10" s="371">
        <f>'1-2'!B10</f>
        <v>0</v>
      </c>
      <c r="C10" s="372">
        <f>'1-2'!C10</f>
        <v>0</v>
      </c>
      <c r="D10" s="254">
        <v>7</v>
      </c>
      <c r="E10" s="314" t="str">
        <f>'2-2'!E10</f>
        <v>消耗需用費</v>
      </c>
      <c r="F10" s="315" t="str">
        <f>'2-2'!F10</f>
        <v>車いす</v>
      </c>
      <c r="G10" s="224">
        <f>'2-2'!G10</f>
        <v>30000</v>
      </c>
      <c r="H10" s="316">
        <f>'2-2'!H10</f>
        <v>4</v>
      </c>
      <c r="I10" s="316">
        <f>'2-2'!I10</f>
        <v>1</v>
      </c>
      <c r="J10" s="373">
        <f>'2-2'!J10</f>
        <v>120000</v>
      </c>
      <c r="K10" s="374" t="str">
        <f>'2-2'!K10</f>
        <v>車いす</v>
      </c>
      <c r="L10" s="224">
        <f>'2-2'!L10</f>
        <v>19500</v>
      </c>
      <c r="M10" s="316">
        <f>'2-2'!M10</f>
        <v>5</v>
      </c>
      <c r="N10" s="316">
        <f>'2-2'!N10</f>
        <v>1</v>
      </c>
      <c r="O10" s="342">
        <f t="shared" si="3"/>
        <v>97500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0</v>
      </c>
      <c r="B11" s="371">
        <f>'1-2'!B11</f>
        <v>0</v>
      </c>
      <c r="C11" s="372">
        <f>'1-2'!C11</f>
        <v>0</v>
      </c>
      <c r="D11" s="263">
        <v>8</v>
      </c>
      <c r="E11" s="314" t="str">
        <f>'2-2'!E11</f>
        <v>消耗需用費</v>
      </c>
      <c r="F11" s="315" t="str">
        <f>'2-2'!F11</f>
        <v>食器棚</v>
      </c>
      <c r="G11" s="224">
        <f>'2-2'!G11</f>
        <v>80000</v>
      </c>
      <c r="H11" s="316">
        <f>'2-2'!H11</f>
        <v>1</v>
      </c>
      <c r="I11" s="316">
        <f>'2-2'!I11</f>
        <v>1</v>
      </c>
      <c r="J11" s="373">
        <f>'2-2'!J11</f>
        <v>80000</v>
      </c>
      <c r="K11" s="374" t="str">
        <f>'2-2'!K11</f>
        <v>食器棚</v>
      </c>
      <c r="L11" s="224">
        <f>'2-2'!L11</f>
        <v>80000</v>
      </c>
      <c r="M11" s="316">
        <f>'2-2'!M11</f>
        <v>1</v>
      </c>
      <c r="N11" s="316">
        <f>'2-2'!N11</f>
        <v>1</v>
      </c>
      <c r="O11" s="342">
        <f t="shared" si="3"/>
        <v>80000</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3</v>
      </c>
      <c r="B12" s="371" t="str">
        <f>'1-2'!B12</f>
        <v>1-(2)-ウ</v>
      </c>
      <c r="C12" s="372" t="str">
        <f>'1-2'!C12</f>
        <v>入学志願者数の安定</v>
      </c>
      <c r="D12" s="263">
        <v>9</v>
      </c>
      <c r="E12" s="314" t="str">
        <f>'2-2'!E12</f>
        <v>消耗需用費</v>
      </c>
      <c r="F12" s="315" t="str">
        <f>'2-2'!F12</f>
        <v>学校案内パンフレット</v>
      </c>
      <c r="G12" s="224">
        <f>'2-2'!G12</f>
        <v>30</v>
      </c>
      <c r="H12" s="316">
        <f>'2-2'!H12</f>
        <v>3000</v>
      </c>
      <c r="I12" s="316">
        <f>'2-2'!I12</f>
        <v>1</v>
      </c>
      <c r="J12" s="373">
        <f>'2-2'!J12</f>
        <v>90000</v>
      </c>
      <c r="K12" s="374" t="str">
        <f>'2-2'!K12</f>
        <v>学校案内パンフレット</v>
      </c>
      <c r="L12" s="224">
        <f>'2-2'!L12</f>
        <v>24.5</v>
      </c>
      <c r="M12" s="316">
        <f>'2-2'!M12</f>
        <v>3000</v>
      </c>
      <c r="N12" s="316">
        <f>'2-2'!N12</f>
        <v>1</v>
      </c>
      <c r="O12" s="342">
        <f t="shared" si="3"/>
        <v>73500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f>'1-2'!A13</f>
        <v>0</v>
      </c>
      <c r="B13" s="371">
        <f>'1-2'!B13</f>
        <v>0</v>
      </c>
      <c r="C13" s="372">
        <f>'1-2'!C13</f>
        <v>0</v>
      </c>
      <c r="D13" s="273">
        <v>10</v>
      </c>
      <c r="E13" s="314" t="str">
        <f>'2-2'!E13</f>
        <v>消耗需用費</v>
      </c>
      <c r="F13" s="315" t="str">
        <f>'2-2'!F13</f>
        <v>カラープリンター</v>
      </c>
      <c r="G13" s="224">
        <f>'2-2'!G13</f>
        <v>80000</v>
      </c>
      <c r="H13" s="316">
        <f>'2-2'!H13</f>
        <v>2</v>
      </c>
      <c r="I13" s="316">
        <f>'2-2'!I13</f>
        <v>1</v>
      </c>
      <c r="J13" s="373">
        <f>'2-2'!J13</f>
        <v>160000</v>
      </c>
      <c r="K13" s="374" t="str">
        <f>'2-2'!K13</f>
        <v>カラープリンター</v>
      </c>
      <c r="L13" s="224">
        <f>'2-2'!L13</f>
        <v>35640</v>
      </c>
      <c r="M13" s="316">
        <f>'2-2'!M13</f>
        <v>2</v>
      </c>
      <c r="N13" s="316">
        <f>'2-2'!N13</f>
        <v>1</v>
      </c>
      <c r="O13" s="342">
        <f t="shared" si="3"/>
        <v>71280</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0</v>
      </c>
      <c r="B14" s="371">
        <f>'1-2'!B14</f>
        <v>0</v>
      </c>
      <c r="C14" s="372">
        <f>'1-2'!C14</f>
        <v>0</v>
      </c>
      <c r="D14" s="254">
        <v>11</v>
      </c>
      <c r="E14" s="314" t="str">
        <f>'2-2'!E14</f>
        <v>消耗需用費</v>
      </c>
      <c r="F14" s="315" t="str">
        <f>'2-2'!F14</f>
        <v>カラープリンター消耗品</v>
      </c>
      <c r="G14" s="224">
        <f>'2-2'!G14</f>
        <v>15000</v>
      </c>
      <c r="H14" s="316">
        <f>'2-2'!H14</f>
        <v>8</v>
      </c>
      <c r="I14" s="316">
        <f>'2-2'!I14</f>
        <v>1</v>
      </c>
      <c r="J14" s="373">
        <f>'2-2'!J14</f>
        <v>120000</v>
      </c>
      <c r="K14" s="374" t="str">
        <f>'2-2'!K14</f>
        <v>カラープリンター消耗品</v>
      </c>
      <c r="L14" s="224">
        <f>'2-2'!L14</f>
        <v>6865.7</v>
      </c>
      <c r="M14" s="316">
        <f>'2-2'!M14</f>
        <v>14</v>
      </c>
      <c r="N14" s="316">
        <f>'2-2'!N14</f>
        <v>1</v>
      </c>
      <c r="O14" s="342">
        <f t="shared" si="3"/>
        <v>96119.8</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0</v>
      </c>
      <c r="B15" s="371">
        <f>'1-2'!B15</f>
        <v>0</v>
      </c>
      <c r="C15" s="372">
        <f>'1-2'!C15</f>
        <v>0</v>
      </c>
      <c r="D15" s="254">
        <v>12</v>
      </c>
      <c r="E15" s="314" t="str">
        <f>'2-2'!E15</f>
        <v>使用料及び賃借料</v>
      </c>
      <c r="F15" s="315" t="str">
        <f>'2-2'!F15</f>
        <v>９地区学校説明会会場費</v>
      </c>
      <c r="G15" s="224">
        <f>'2-2'!G15</f>
        <v>3964</v>
      </c>
      <c r="H15" s="316">
        <f>'2-2'!H15</f>
        <v>1</v>
      </c>
      <c r="I15" s="316">
        <f>'2-2'!I15</f>
        <v>1</v>
      </c>
      <c r="J15" s="373">
        <f>'2-2'!J15</f>
        <v>3964</v>
      </c>
      <c r="K15" s="374" t="str">
        <f>'2-2'!K15</f>
        <v>９地区学校説明会会場費</v>
      </c>
      <c r="L15" s="224">
        <f>'2-2'!L15</f>
        <v>3964</v>
      </c>
      <c r="M15" s="316">
        <f>'2-2'!M15</f>
        <v>1</v>
      </c>
      <c r="N15" s="316">
        <f>'2-2'!N15</f>
        <v>1</v>
      </c>
      <c r="O15" s="342">
        <f t="shared" si="3"/>
        <v>3964</v>
      </c>
      <c r="P15" s="375" t="str">
        <f>'2-2'!P15</f>
        <v>◎</v>
      </c>
      <c r="Q15" s="376" t="str">
        <f>'2-2'!Q15</f>
        <v>幹事校：久米田高校</v>
      </c>
      <c r="R15" s="25">
        <f>IF(AND(ISNA(MATCH($D15,'随時②-2'!$D$4:$D$18,0)),ISNA(MATCH($D15,'随時③-2'!$D$4:$D$18,0))),0,1)</f>
        <v>0</v>
      </c>
      <c r="S15" s="63">
        <f t="shared" si="0"/>
        <v>3964</v>
      </c>
      <c r="T15" s="63">
        <f t="shared" si="1"/>
        <v>3964</v>
      </c>
      <c r="U15" s="5">
        <f t="shared" si="2"/>
        <v>7</v>
      </c>
    </row>
    <row r="16" spans="1:20" ht="30" customHeight="1">
      <c r="A16" s="370">
        <f>'2-4'!A4</f>
        <v>0</v>
      </c>
      <c r="B16" s="371">
        <f>'2-4'!B4</f>
        <v>0</v>
      </c>
      <c r="C16" s="372">
        <f>'2-4'!C4</f>
        <v>0</v>
      </c>
      <c r="D16" s="263">
        <v>301</v>
      </c>
      <c r="E16" s="315" t="str">
        <f>IF($R16=1,"",VLOOKUP($D16,'2-4'!$D$4:$L$103,2))</f>
        <v>負担金、補助及び交付金</v>
      </c>
      <c r="F16" s="315" t="str">
        <f>IF($R16=1,"取消し",VLOOKUP($D16,'2-4'!$D$4:$L$103,3))</f>
        <v>各種団体負担金（会費）</v>
      </c>
      <c r="G16" s="224">
        <f>IF($R16=1,,VLOOKUP($D16,'2-4'!$D$4:$L$103,4))</f>
        <v>0</v>
      </c>
      <c r="H16" s="316">
        <f>IF($R16=1,,VLOOKUP($D16,'2-4'!$D$4:$L$103,5))</f>
        <v>0</v>
      </c>
      <c r="I16" s="316">
        <f>IF($R16=1,,VLOOKUP($D16,'2-4'!$D$4:$L$103,6))</f>
        <v>0</v>
      </c>
      <c r="J16" s="224">
        <f>IF($R16=1,,VLOOKUP($D16,'2-4'!$D$4:$L$103,7))</f>
        <v>0</v>
      </c>
      <c r="K16" s="339" t="str">
        <f aca="true" t="shared" si="4" ref="K16:K28">F16</f>
        <v>各種団体負担金（会費）</v>
      </c>
      <c r="L16" s="340">
        <f>G16</f>
        <v>0</v>
      </c>
      <c r="M16" s="341">
        <f aca="true" t="shared" si="5" ref="M16:M28">H16</f>
        <v>0</v>
      </c>
      <c r="N16" s="341">
        <f aca="true" t="shared" si="6" ref="N16:N28">I16</f>
        <v>0</v>
      </c>
      <c r="O16" s="342">
        <f>L16*M16*N16</f>
        <v>0</v>
      </c>
      <c r="P16" s="380">
        <f>IF($R16=1,"",VLOOKUP($D16,'2-4'!$D$4:$L$103,8))</f>
        <v>0</v>
      </c>
      <c r="Q16" s="279" t="s">
        <v>254</v>
      </c>
      <c r="R16" s="25">
        <f>IF(AND(ISNA(MATCH($D16,'随時②-2'!$D$4:$D$18,0)),ISNA(MATCH($D16,'随時③-2'!$D$4:$D$18,0))),0,1)</f>
        <v>0</v>
      </c>
      <c r="S16" s="63">
        <f aca="true" t="shared" si="7" ref="S16:S28">IF(P16="◎",J16,"")</f>
      </c>
      <c r="T16" s="63">
        <f aca="true" t="shared" si="8" ref="T16:T28">IF(P16="◎",O16,"")</f>
      </c>
    </row>
    <row r="17" spans="1:20" ht="30" customHeight="1">
      <c r="A17" s="377">
        <f>'2-4'!A5</f>
        <v>1</v>
      </c>
      <c r="B17" s="378" t="str">
        <f>'2-4'!B5</f>
        <v>1-(1)-オ</v>
      </c>
      <c r="C17" s="379" t="str">
        <f>'2-4'!C5</f>
        <v>学校経営上の数値目標</v>
      </c>
      <c r="D17" s="254">
        <v>302</v>
      </c>
      <c r="E17" s="315" t="str">
        <f>IF($R17=1,"",VLOOKUP($D17,'2-4'!$D$4:$L$103,2))</f>
        <v>消耗需用費</v>
      </c>
      <c r="F17" s="315" t="str">
        <f>IF($R17=1,"取消し",VLOOKUP($D17,'2-4'!$D$4:$L$103,3))</f>
        <v>校内ＬＡＮ関係機器等消耗品</v>
      </c>
      <c r="G17" s="224">
        <f>IF($R17=1,,VLOOKUP($D17,'2-4'!$D$4:$L$103,4))</f>
        <v>30000</v>
      </c>
      <c r="H17" s="316">
        <f>IF($R17=1,,VLOOKUP($D17,'2-4'!$D$4:$L$103,5))</f>
        <v>5</v>
      </c>
      <c r="I17" s="316">
        <f>IF($R17=1,,VLOOKUP($D17,'2-4'!$D$4:$L$103,6))</f>
        <v>1</v>
      </c>
      <c r="J17" s="224">
        <f>IF($R17=1,,VLOOKUP($D17,'2-4'!$D$4:$L$103,7))</f>
        <v>150000</v>
      </c>
      <c r="K17" s="318" t="str">
        <f t="shared" si="4"/>
        <v>校内ＬＡＮ関係機器等消耗品</v>
      </c>
      <c r="L17" s="319">
        <v>4089.054</v>
      </c>
      <c r="M17" s="320">
        <v>9.25</v>
      </c>
      <c r="N17" s="320">
        <v>4</v>
      </c>
      <c r="O17" s="309">
        <f aca="true" t="shared" si="9" ref="O17:O28">L17*M17*N17</f>
        <v>151294.998</v>
      </c>
      <c r="P17" s="380">
        <f>IF($R17=1,"",VLOOKUP($D17,'2-4'!$D$4:$L$103,8))</f>
        <v>0</v>
      </c>
      <c r="Q17" s="279">
        <f>IF($R17=1,"",VLOOKUP($D17,'2-4'!$D$4:$L$103,9))</f>
        <v>0</v>
      </c>
      <c r="R17" s="25">
        <f>IF(AND(ISNA(MATCH($D17,'随時②-2'!$D$4:$D$18,0)),ISNA(MATCH($D17,'随時③-2'!$D$4:$D$18,0))),0,1)</f>
        <v>0</v>
      </c>
      <c r="S17" s="63">
        <f t="shared" si="7"/>
      </c>
      <c r="T17" s="63">
        <f t="shared" si="8"/>
      </c>
    </row>
    <row r="18" spans="1:20" ht="30" customHeight="1">
      <c r="A18" s="377">
        <f>'2-4'!A6</f>
        <v>0</v>
      </c>
      <c r="B18" s="378">
        <f>'2-4'!B6</f>
        <v>0</v>
      </c>
      <c r="C18" s="379">
        <f>'2-4'!C6</f>
        <v>0</v>
      </c>
      <c r="D18" s="254">
        <v>303</v>
      </c>
      <c r="E18" s="315" t="str">
        <f>IF($R18=1,"",VLOOKUP($D18,'2-4'!$D$4:$L$103,2))</f>
        <v>消耗需用費</v>
      </c>
      <c r="F18" s="315" t="str">
        <f>IF($R18=1,"取消し",VLOOKUP($D18,'2-4'!$D$4:$L$103,3))</f>
        <v>電気スタンド</v>
      </c>
      <c r="G18" s="224">
        <f>IF($R18=1,,VLOOKUP($D18,'2-4'!$D$4:$L$103,4))</f>
        <v>4950</v>
      </c>
      <c r="H18" s="316">
        <f>IF($R18=1,,VLOOKUP($D18,'2-4'!$D$4:$L$103,5))</f>
        <v>10</v>
      </c>
      <c r="I18" s="316">
        <f>IF($R18=1,,VLOOKUP($D18,'2-4'!$D$4:$L$103,6))</f>
        <v>1</v>
      </c>
      <c r="J18" s="224">
        <f>IF($R18=1,,VLOOKUP($D18,'2-4'!$D$4:$L$103,7))</f>
        <v>49500</v>
      </c>
      <c r="K18" s="318" t="str">
        <f t="shared" si="4"/>
        <v>電気スタンド</v>
      </c>
      <c r="L18" s="319">
        <v>6253.125</v>
      </c>
      <c r="M18" s="320">
        <v>8</v>
      </c>
      <c r="N18" s="320">
        <f t="shared" si="6"/>
        <v>1</v>
      </c>
      <c r="O18" s="309">
        <f t="shared" si="9"/>
        <v>50025</v>
      </c>
      <c r="P18" s="380">
        <f>IF($R18=1,"",VLOOKUP($D18,'2-4'!$D$4:$L$103,8))</f>
        <v>0</v>
      </c>
      <c r="Q18" s="279">
        <f>IF($R18=1,"",VLOOKUP($D18,'2-4'!$D$4:$L$103,9))</f>
        <v>0</v>
      </c>
      <c r="R18" s="25">
        <f>IF(AND(ISNA(MATCH($D18,'随時②-2'!$D$4:$D$18,0)),ISNA(MATCH($D18,'随時③-2'!$D$4:$D$18,0))),0,1)</f>
        <v>0</v>
      </c>
      <c r="S18" s="63">
        <f t="shared" si="7"/>
      </c>
      <c r="T18" s="63">
        <f t="shared" si="8"/>
      </c>
    </row>
    <row r="19" spans="1:20" ht="30" customHeight="1">
      <c r="A19" s="377">
        <f>'2-4'!A7</f>
        <v>2</v>
      </c>
      <c r="B19" s="378" t="str">
        <f>'2-4'!B7</f>
        <v>1-(2)-ア</v>
      </c>
      <c r="C19" s="379" t="str">
        <f>'2-4'!C7</f>
        <v>専門コース演習科目の内容充実</v>
      </c>
      <c r="D19" s="254">
        <v>304</v>
      </c>
      <c r="E19" s="315" t="str">
        <f>IF($R19=1,"",VLOOKUP($D19,'2-4'!$D$4:$L$103,2))</f>
        <v>報償費</v>
      </c>
      <c r="F19" s="315" t="str">
        <f>IF($R19=1,"取消し",VLOOKUP($D19,'2-4'!$D$4:$L$103,3))</f>
        <v>CSP研修講師謝礼</v>
      </c>
      <c r="G19" s="224">
        <f>IF($R19=1,,VLOOKUP($D19,'2-4'!$D$4:$L$103,4))</f>
        <v>10000</v>
      </c>
      <c r="H19" s="316">
        <f>IF($R19=1,,VLOOKUP($D19,'2-4'!$D$4:$L$103,5))</f>
        <v>1</v>
      </c>
      <c r="I19" s="316">
        <f>IF($R19=1,,VLOOKUP($D19,'2-4'!$D$4:$L$103,6))</f>
        <v>1</v>
      </c>
      <c r="J19" s="224">
        <f>IF($R19=1,,VLOOKUP($D19,'2-4'!$D$4:$L$103,7))</f>
        <v>10000</v>
      </c>
      <c r="K19" s="318" t="str">
        <f t="shared" si="4"/>
        <v>CSP研修講師謝礼</v>
      </c>
      <c r="L19" s="319">
        <f>G19</f>
        <v>10000</v>
      </c>
      <c r="M19" s="320">
        <f t="shared" si="5"/>
        <v>1</v>
      </c>
      <c r="N19" s="320">
        <f t="shared" si="6"/>
        <v>1</v>
      </c>
      <c r="O19" s="309">
        <f t="shared" si="9"/>
        <v>10000</v>
      </c>
      <c r="P19" s="380">
        <f>IF($R19=1,"",VLOOKUP($D19,'2-4'!$D$4:$L$103,8))</f>
        <v>0</v>
      </c>
      <c r="Q19" s="279">
        <f>IF($R19=1,"",VLOOKUP($D19,'2-4'!$D$4:$L$103,9))</f>
        <v>0</v>
      </c>
      <c r="R19" s="25">
        <f>IF(AND(ISNA(MATCH($D19,'随時②-2'!$D$4:$D$18,0)),ISNA(MATCH($D19,'随時③-2'!$D$4:$D$18,0))),0,1)</f>
        <v>0</v>
      </c>
      <c r="S19" s="63">
        <f t="shared" si="7"/>
      </c>
      <c r="T19" s="63">
        <f t="shared" si="8"/>
      </c>
    </row>
    <row r="20" spans="1:20" ht="30" customHeight="1">
      <c r="A20" s="377">
        <f>'2-4'!A8</f>
        <v>0</v>
      </c>
      <c r="B20" s="378">
        <f>'2-4'!B8</f>
        <v>0</v>
      </c>
      <c r="C20" s="379">
        <f>'2-4'!C8</f>
        <v>0</v>
      </c>
      <c r="D20" s="254">
        <v>305</v>
      </c>
      <c r="E20" s="315" t="str">
        <f>IF($R20=1,"",VLOOKUP($D20,'2-4'!$D$4:$L$103,2))</f>
        <v>報償費</v>
      </c>
      <c r="F20" s="315" t="str">
        <f>IF($R20=1,"取消し",VLOOKUP($D20,'2-4'!$D$4:$L$103,3))</f>
        <v>保育表現演習講師謝礼</v>
      </c>
      <c r="G20" s="224">
        <f>IF($R20=1,,VLOOKUP($D20,'2-4'!$D$4:$L$103,4))</f>
        <v>10000</v>
      </c>
      <c r="H20" s="316">
        <f>IF($R20=1,,VLOOKUP($D20,'2-4'!$D$4:$L$103,5))</f>
        <v>1</v>
      </c>
      <c r="I20" s="316">
        <f>IF($R20=1,,VLOOKUP($D20,'2-4'!$D$4:$L$103,6))</f>
        <v>1</v>
      </c>
      <c r="J20" s="224">
        <f>IF($R20=1,,VLOOKUP($D20,'2-4'!$D$4:$L$103,7))</f>
        <v>10000</v>
      </c>
      <c r="K20" s="318" t="str">
        <f t="shared" si="4"/>
        <v>保育表現演習講師謝礼</v>
      </c>
      <c r="L20" s="319">
        <f>G20</f>
        <v>10000</v>
      </c>
      <c r="M20" s="320">
        <f t="shared" si="5"/>
        <v>1</v>
      </c>
      <c r="N20" s="320">
        <f t="shared" si="6"/>
        <v>1</v>
      </c>
      <c r="O20" s="309">
        <f t="shared" si="9"/>
        <v>10000</v>
      </c>
      <c r="P20" s="380">
        <f>IF($R20=1,"",VLOOKUP($D20,'2-4'!$D$4:$L$103,8))</f>
        <v>0</v>
      </c>
      <c r="Q20" s="279">
        <f>IF($R20=1,"",VLOOKUP($D20,'2-4'!$D$4:$L$103,9))</f>
        <v>0</v>
      </c>
      <c r="R20" s="25">
        <f>IF(AND(ISNA(MATCH($D20,'随時②-2'!$D$4:$D$18,0)),ISNA(MATCH($D20,'随時③-2'!$D$4:$D$18,0))),0,1)</f>
        <v>0</v>
      </c>
      <c r="S20" s="63">
        <f t="shared" si="7"/>
      </c>
      <c r="T20" s="63">
        <f t="shared" si="8"/>
      </c>
    </row>
    <row r="21" spans="1:20" ht="30" customHeight="1">
      <c r="A21" s="377">
        <f>'2-4'!A9</f>
        <v>0</v>
      </c>
      <c r="B21" s="378">
        <f>'2-4'!B9</f>
        <v>0</v>
      </c>
      <c r="C21" s="379">
        <f>'2-4'!C9</f>
        <v>0</v>
      </c>
      <c r="D21" s="254">
        <v>306</v>
      </c>
      <c r="E21" s="315" t="str">
        <f>IF($R21=1,"",VLOOKUP($D21,'2-4'!$D$4:$L$103,2))</f>
        <v>報償費</v>
      </c>
      <c r="F21" s="315" t="str">
        <f>IF($R21=1,"取消し",VLOOKUP($D21,'2-4'!$D$4:$L$103,3))</f>
        <v>介護総合演習講師謝礼</v>
      </c>
      <c r="G21" s="224">
        <f>IF($R21=1,,VLOOKUP($D21,'2-4'!$D$4:$L$103,4))</f>
        <v>10000</v>
      </c>
      <c r="H21" s="316">
        <f>IF($R21=1,,VLOOKUP($D21,'2-4'!$D$4:$L$103,5))</f>
        <v>1</v>
      </c>
      <c r="I21" s="316">
        <f>IF($R21=1,,VLOOKUP($D21,'2-4'!$D$4:$L$103,6))</f>
        <v>4</v>
      </c>
      <c r="J21" s="224">
        <f>IF($R21=1,,VLOOKUP($D21,'2-4'!$D$4:$L$103,7))</f>
        <v>40000</v>
      </c>
      <c r="K21" s="318" t="str">
        <f t="shared" si="4"/>
        <v>介護総合演習講師謝礼</v>
      </c>
      <c r="L21" s="319">
        <f>G21</f>
        <v>10000</v>
      </c>
      <c r="M21" s="320">
        <f t="shared" si="5"/>
        <v>1</v>
      </c>
      <c r="N21" s="320">
        <f t="shared" si="6"/>
        <v>4</v>
      </c>
      <c r="O21" s="309">
        <f t="shared" si="9"/>
        <v>40000</v>
      </c>
      <c r="P21" s="380">
        <f>IF($R21=1,"",VLOOKUP($D21,'2-4'!$D$4:$L$103,8))</f>
        <v>0</v>
      </c>
      <c r="Q21" s="279">
        <f>IF($R21=1,"",VLOOKUP($D21,'2-4'!$D$4:$L$103,9))</f>
        <v>0</v>
      </c>
      <c r="R21" s="25">
        <f>IF(AND(ISNA(MATCH($D21,'随時②-2'!$D$4:$D$18,0)),ISNA(MATCH($D21,'随時③-2'!$D$4:$D$18,0))),0,1)</f>
        <v>0</v>
      </c>
      <c r="S21" s="63">
        <f t="shared" si="7"/>
      </c>
      <c r="T21" s="63">
        <f t="shared" si="8"/>
      </c>
    </row>
    <row r="22" spans="1:20" ht="30" customHeight="1">
      <c r="A22" s="377">
        <f>'2-4'!A10</f>
        <v>0</v>
      </c>
      <c r="B22" s="378">
        <f>'2-4'!B10</f>
        <v>0</v>
      </c>
      <c r="C22" s="379">
        <f>'2-4'!C10</f>
        <v>0</v>
      </c>
      <c r="D22" s="254">
        <v>307</v>
      </c>
      <c r="E22" s="315" t="str">
        <f>IF($R22=1,"",VLOOKUP($D22,'2-4'!$D$4:$L$103,2))</f>
        <v>消耗需用費</v>
      </c>
      <c r="F22" s="315" t="str">
        <f>IF($R22=1,"取消し",VLOOKUP($D22,'2-4'!$D$4:$L$103,3))</f>
        <v>ポータブル吸引器</v>
      </c>
      <c r="G22" s="224">
        <f>IF($R22=1,,VLOOKUP($D22,'2-4'!$D$4:$L$103,4))</f>
        <v>40000</v>
      </c>
      <c r="H22" s="316">
        <f>IF($R22=1,,VLOOKUP($D22,'2-4'!$D$4:$L$103,5))</f>
        <v>2</v>
      </c>
      <c r="I22" s="316">
        <f>IF($R22=1,,VLOOKUP($D22,'2-4'!$D$4:$L$103,6))</f>
        <v>1</v>
      </c>
      <c r="J22" s="224">
        <f>IF($R22=1,,VLOOKUP($D22,'2-4'!$D$4:$L$103,7))</f>
        <v>80000</v>
      </c>
      <c r="K22" s="318" t="str">
        <f t="shared" si="4"/>
        <v>ポータブル吸引器</v>
      </c>
      <c r="L22" s="319">
        <v>45316.5</v>
      </c>
      <c r="M22" s="320">
        <f t="shared" si="5"/>
        <v>2</v>
      </c>
      <c r="N22" s="320">
        <f t="shared" si="6"/>
        <v>1</v>
      </c>
      <c r="O22" s="309">
        <f t="shared" si="9"/>
        <v>90633</v>
      </c>
      <c r="P22" s="380">
        <f>IF($R22=1,"",VLOOKUP($D22,'2-4'!$D$4:$L$103,8))</f>
        <v>0</v>
      </c>
      <c r="Q22" s="279">
        <f>IF($R22=1,"",VLOOKUP($D22,'2-4'!$D$4:$L$103,9))</f>
        <v>0</v>
      </c>
      <c r="R22" s="25">
        <f>IF(AND(ISNA(MATCH($D22,'随時②-2'!$D$4:$D$18,0)),ISNA(MATCH($D22,'随時③-2'!$D$4:$D$18,0))),0,1)</f>
        <v>0</v>
      </c>
      <c r="S22" s="63">
        <f t="shared" si="7"/>
      </c>
      <c r="T22" s="63">
        <f t="shared" si="8"/>
      </c>
    </row>
    <row r="23" spans="1:20" ht="30" customHeight="1">
      <c r="A23" s="377">
        <f>'2-4'!A11</f>
        <v>3</v>
      </c>
      <c r="B23" s="378" t="str">
        <f>'2-4'!B11</f>
        <v>1-(2)-ウ</v>
      </c>
      <c r="C23" s="379" t="str">
        <f>'2-4'!C11</f>
        <v>入学志願者数の安定</v>
      </c>
      <c r="D23" s="254">
        <v>308</v>
      </c>
      <c r="E23" s="315" t="str">
        <f>IF($R23=1,"",VLOOKUP($D23,'2-4'!$D$4:$L$103,2))</f>
        <v>消耗需用費</v>
      </c>
      <c r="F23" s="315" t="str">
        <f>IF($R23=1,"取消し",VLOOKUP($D23,'2-4'!$D$4:$L$103,3))</f>
        <v>拡大コピー機用消耗品</v>
      </c>
      <c r="G23" s="224">
        <f>IF($R23=1,,VLOOKUP($D23,'2-4'!$D$4:$L$103,4))</f>
        <v>6000</v>
      </c>
      <c r="H23" s="316">
        <f>IF($R23=1,,VLOOKUP($D23,'2-4'!$D$4:$L$103,5))</f>
        <v>10</v>
      </c>
      <c r="I23" s="316">
        <f>IF($R23=1,,VLOOKUP($D23,'2-4'!$D$4:$L$103,6))</f>
        <v>1</v>
      </c>
      <c r="J23" s="224">
        <f>IF($R23=1,,VLOOKUP($D23,'2-4'!$D$4:$L$103,7))</f>
        <v>60000</v>
      </c>
      <c r="K23" s="318" t="str">
        <f t="shared" si="4"/>
        <v>拡大コピー機用消耗品</v>
      </c>
      <c r="L23" s="319">
        <v>25056</v>
      </c>
      <c r="M23" s="320">
        <v>2</v>
      </c>
      <c r="N23" s="320">
        <f t="shared" si="6"/>
        <v>1</v>
      </c>
      <c r="O23" s="309">
        <f t="shared" si="9"/>
        <v>50112</v>
      </c>
      <c r="P23" s="380">
        <f>IF($R23=1,"",VLOOKUP($D23,'2-4'!$D$4:$L$103,8))</f>
        <v>0</v>
      </c>
      <c r="Q23" s="279">
        <f>IF($R23=1,"",VLOOKUP($D23,'2-4'!$D$4:$L$103,9))</f>
        <v>0</v>
      </c>
      <c r="R23" s="25">
        <f>IF(AND(ISNA(MATCH($D23,'随時②-2'!$D$4:$D$18,0)),ISNA(MATCH($D23,'随時③-2'!$D$4:$D$18,0))),0,1)</f>
        <v>0</v>
      </c>
      <c r="S23" s="63">
        <f t="shared" si="7"/>
      </c>
      <c r="T23" s="63">
        <f t="shared" si="8"/>
      </c>
    </row>
    <row r="24" spans="1:20" ht="30" customHeight="1">
      <c r="A24" s="377">
        <f>'2-4'!A12</f>
        <v>0</v>
      </c>
      <c r="B24" s="378">
        <f>'2-4'!B12</f>
        <v>0</v>
      </c>
      <c r="C24" s="379">
        <f>'2-4'!C12</f>
        <v>0</v>
      </c>
      <c r="D24" s="254">
        <v>309</v>
      </c>
      <c r="E24" s="315" t="str">
        <f>IF($R24=1,"",VLOOKUP($D24,'2-4'!$D$4:$L$103,2))</f>
        <v>消耗需用費</v>
      </c>
      <c r="F24" s="315" t="str">
        <f>IF($R24=1,"取消し",VLOOKUP($D24,'2-4'!$D$4:$L$103,3))</f>
        <v>オープンスクール・クラブ体験用消耗品</v>
      </c>
      <c r="G24" s="224">
        <f>IF($R24=1,,VLOOKUP($D24,'2-4'!$D$4:$L$103,4))</f>
        <v>200</v>
      </c>
      <c r="H24" s="316">
        <f>IF($R24=1,,VLOOKUP($D24,'2-4'!$D$4:$L$103,5))</f>
        <v>50</v>
      </c>
      <c r="I24" s="316">
        <f>IF($R24=1,,VLOOKUP($D24,'2-4'!$D$4:$L$103,6))</f>
        <v>1</v>
      </c>
      <c r="J24" s="224">
        <f>IF($R24=1,,VLOOKUP($D24,'2-4'!$D$4:$L$103,7))</f>
        <v>10000</v>
      </c>
      <c r="K24" s="318" t="str">
        <f t="shared" si="4"/>
        <v>オープンスクール・クラブ体験用消耗品</v>
      </c>
      <c r="L24" s="319">
        <v>975.6</v>
      </c>
      <c r="M24" s="320">
        <v>5</v>
      </c>
      <c r="N24" s="320">
        <v>2</v>
      </c>
      <c r="O24" s="309">
        <f t="shared" si="9"/>
        <v>9756</v>
      </c>
      <c r="P24" s="380">
        <f>IF($R24=1,"",VLOOKUP($D24,'2-4'!$D$4:$L$103,8))</f>
        <v>0</v>
      </c>
      <c r="Q24" s="279">
        <f>IF($R24=1,"",VLOOKUP($D24,'2-4'!$D$4:$L$103,9))</f>
        <v>0</v>
      </c>
      <c r="R24" s="25">
        <f>IF(AND(ISNA(MATCH($D24,'随時②-2'!$D$4:$D$18,0)),ISNA(MATCH($D24,'随時③-2'!$D$4:$D$18,0))),0,1)</f>
        <v>0</v>
      </c>
      <c r="S24" s="63">
        <f t="shared" si="7"/>
      </c>
      <c r="T24" s="63">
        <f t="shared" si="8"/>
      </c>
    </row>
    <row r="25" spans="1:20" ht="30" customHeight="1">
      <c r="A25" s="377">
        <f>'2-4'!A13</f>
        <v>4</v>
      </c>
      <c r="B25" s="378" t="str">
        <f>'2-4'!B13</f>
        <v>2-(3)-イ</v>
      </c>
      <c r="C25" s="379" t="str">
        <f>'2-4'!C13</f>
        <v>部活動の発信・発表の場を多く設ける</v>
      </c>
      <c r="D25" s="254">
        <v>310</v>
      </c>
      <c r="E25" s="315" t="str">
        <f>IF($R25=1,"",VLOOKUP($D25,'2-4'!$D$4:$L$103,2))</f>
        <v>消耗需用費</v>
      </c>
      <c r="F25" s="315" t="str">
        <f>IF($R25=1,"取消し",VLOOKUP($D25,'2-4'!$D$4:$L$103,3))</f>
        <v>日根野杯ボール</v>
      </c>
      <c r="G25" s="224">
        <f>IF($R25=1,,VLOOKUP($D25,'2-4'!$D$4:$L$103,4))</f>
        <v>5000</v>
      </c>
      <c r="H25" s="316">
        <f>IF($R25=1,,VLOOKUP($D25,'2-4'!$D$4:$L$103,5))</f>
        <v>10</v>
      </c>
      <c r="I25" s="316">
        <f>IF($R25=1,,VLOOKUP($D25,'2-4'!$D$4:$L$103,6))</f>
        <v>1</v>
      </c>
      <c r="J25" s="224">
        <f>IF($R25=1,,VLOOKUP($D25,'2-4'!$D$4:$L$103,7))</f>
        <v>50000</v>
      </c>
      <c r="K25" s="318" t="str">
        <f t="shared" si="4"/>
        <v>日根野杯ボール</v>
      </c>
      <c r="L25" s="319">
        <v>4150</v>
      </c>
      <c r="M25" s="320">
        <v>12</v>
      </c>
      <c r="N25" s="320">
        <f t="shared" si="6"/>
        <v>1</v>
      </c>
      <c r="O25" s="309">
        <f t="shared" si="9"/>
        <v>49800</v>
      </c>
      <c r="P25" s="380">
        <f>IF($R25=1,"",VLOOKUP($D25,'2-4'!$D$4:$L$103,8))</f>
        <v>0</v>
      </c>
      <c r="Q25" s="279">
        <f>IF($R25=1,"",VLOOKUP($D25,'2-4'!$D$4:$L$103,9))</f>
        <v>0</v>
      </c>
      <c r="R25" s="25">
        <f>IF(AND(ISNA(MATCH($D25,'随時②-2'!$D$4:$D$18,0)),ISNA(MATCH($D25,'随時③-2'!$D$4:$D$18,0))),0,1)</f>
        <v>0</v>
      </c>
      <c r="S25" s="63">
        <f t="shared" si="7"/>
      </c>
      <c r="T25" s="63">
        <f t="shared" si="8"/>
      </c>
    </row>
    <row r="26" spans="1:20" ht="30" customHeight="1">
      <c r="A26" s="377">
        <f>'2-4'!A14</f>
        <v>0</v>
      </c>
      <c r="B26" s="378">
        <f>'2-4'!B14</f>
        <v>0</v>
      </c>
      <c r="C26" s="379">
        <f>'2-4'!C14</f>
        <v>0</v>
      </c>
      <c r="D26" s="254">
        <v>311</v>
      </c>
      <c r="E26" s="315" t="str">
        <f>IF($R26=1,"",VLOOKUP($D26,'2-4'!$D$4:$L$103,2))</f>
        <v>消耗需用費</v>
      </c>
      <c r="F26" s="315" t="str">
        <f>IF($R26=1,"取消し",VLOOKUP($D26,'2-4'!$D$4:$L$103,3))</f>
        <v>日根野杯ラインテープ</v>
      </c>
      <c r="G26" s="224">
        <f>IF($R26=1,,VLOOKUP($D26,'2-4'!$D$4:$L$103,4))</f>
        <v>2000</v>
      </c>
      <c r="H26" s="316">
        <f>IF($R26=1,,VLOOKUP($D26,'2-4'!$D$4:$L$103,5))</f>
        <v>8</v>
      </c>
      <c r="I26" s="316">
        <f>IF($R26=1,,VLOOKUP($D26,'2-4'!$D$4:$L$103,6))</f>
        <v>1</v>
      </c>
      <c r="J26" s="224">
        <f>IF($R26=1,,VLOOKUP($D26,'2-4'!$D$4:$L$103,7))</f>
        <v>16000</v>
      </c>
      <c r="K26" s="318" t="str">
        <f t="shared" si="4"/>
        <v>日根野杯ラインテープ</v>
      </c>
      <c r="L26" s="319">
        <v>1730</v>
      </c>
      <c r="M26" s="320">
        <f t="shared" si="5"/>
        <v>8</v>
      </c>
      <c r="N26" s="320">
        <f t="shared" si="6"/>
        <v>1</v>
      </c>
      <c r="O26" s="309">
        <f t="shared" si="9"/>
        <v>13840</v>
      </c>
      <c r="P26" s="380">
        <f>IF($R26=1,"",VLOOKUP($D26,'2-4'!$D$4:$L$103,8))</f>
        <v>0</v>
      </c>
      <c r="Q26" s="279">
        <f>IF($R26=1,"",VLOOKUP($D26,'2-4'!$D$4:$L$103,9))</f>
        <v>0</v>
      </c>
      <c r="R26" s="25">
        <f>IF(AND(ISNA(MATCH($D26,'随時②-2'!$D$4:$D$18,0)),ISNA(MATCH($D26,'随時③-2'!$D$4:$D$18,0))),0,1)</f>
        <v>0</v>
      </c>
      <c r="S26" s="63">
        <f t="shared" si="7"/>
      </c>
      <c r="T26" s="63">
        <f t="shared" si="8"/>
      </c>
    </row>
    <row r="27" spans="1:20" ht="30" customHeight="1">
      <c r="A27" s="377">
        <f>'2-4'!A15</f>
        <v>0</v>
      </c>
      <c r="B27" s="378">
        <f>'2-4'!B15</f>
        <v>0</v>
      </c>
      <c r="C27" s="379">
        <f>'2-4'!C15</f>
        <v>0</v>
      </c>
      <c r="D27" s="254">
        <v>312</v>
      </c>
      <c r="E27" s="315" t="str">
        <f>IF($R27=1,"",VLOOKUP($D27,'2-4'!$D$4:$L$103,2))</f>
        <v>使用料及び賃借料</v>
      </c>
      <c r="F27" s="315" t="str">
        <f>IF($R27=1,"取消し",VLOOKUP($D27,'2-4'!$D$4:$L$103,3))</f>
        <v>日根野杯会場借上料</v>
      </c>
      <c r="G27" s="224">
        <f>IF($R27=1,,VLOOKUP($D27,'2-4'!$D$4:$L$103,4))</f>
        <v>120000</v>
      </c>
      <c r="H27" s="316">
        <f>IF($R27=1,,VLOOKUP($D27,'2-4'!$D$4:$L$103,5))</f>
        <v>1</v>
      </c>
      <c r="I27" s="316">
        <f>IF($R27=1,,VLOOKUP($D27,'2-4'!$D$4:$L$103,6))</f>
        <v>1</v>
      </c>
      <c r="J27" s="224">
        <f>IF($R27=1,,VLOOKUP($D27,'2-4'!$D$4:$L$103,7))</f>
        <v>120000</v>
      </c>
      <c r="K27" s="318" t="str">
        <f t="shared" si="4"/>
        <v>日根野杯会場借上料</v>
      </c>
      <c r="L27" s="319">
        <v>109300</v>
      </c>
      <c r="M27" s="320">
        <f t="shared" si="5"/>
        <v>1</v>
      </c>
      <c r="N27" s="320">
        <f t="shared" si="6"/>
        <v>1</v>
      </c>
      <c r="O27" s="309">
        <f t="shared" si="9"/>
        <v>109300</v>
      </c>
      <c r="P27" s="380">
        <f>IF($R27=1,"",VLOOKUP($D27,'2-4'!$D$4:$L$103,8))</f>
        <v>0</v>
      </c>
      <c r="Q27" s="279">
        <f>IF($R27=1,"",VLOOKUP($D27,'2-4'!$D$4:$L$103,9))</f>
        <v>0</v>
      </c>
      <c r="R27" s="25">
        <f>IF(AND(ISNA(MATCH($D27,'随時②-2'!$D$4:$D$18,0)),ISNA(MATCH($D27,'随時③-2'!$D$4:$D$18,0))),0,1)</f>
        <v>0</v>
      </c>
      <c r="S27" s="63">
        <f t="shared" si="7"/>
      </c>
      <c r="T27" s="63">
        <f t="shared" si="8"/>
      </c>
    </row>
    <row r="28" spans="1:20" ht="30" customHeight="1" thickBot="1">
      <c r="A28" s="377">
        <f>'2-4'!A16</f>
        <v>5</v>
      </c>
      <c r="B28" s="378" t="str">
        <f>'2-4'!B16</f>
        <v>3-(2)-ア</v>
      </c>
      <c r="C28" s="379" t="str">
        <f>'2-4'!C16</f>
        <v>生徒の相談窓口の複数化等</v>
      </c>
      <c r="D28" s="254">
        <v>313</v>
      </c>
      <c r="E28" s="315" t="str">
        <f>IF($R28=1,"",VLOOKUP($D28,'2-4'!$D$4:$L$103,2))</f>
        <v>報償費</v>
      </c>
      <c r="F28" s="315" t="str">
        <f>IF($R28=1,"取消し",VLOOKUP($D28,'2-4'!$D$4:$L$103,3))</f>
        <v>教育相談支援研修講師謝礼</v>
      </c>
      <c r="G28" s="224">
        <f>IF($R28=1,,VLOOKUP($D28,'2-4'!$D$4:$L$103,4))</f>
        <v>20000</v>
      </c>
      <c r="H28" s="316">
        <f>IF($R28=1,,VLOOKUP($D28,'2-4'!$D$4:$L$103,5))</f>
        <v>1</v>
      </c>
      <c r="I28" s="316">
        <f>IF($R28=1,,VLOOKUP($D28,'2-4'!$D$4:$L$103,6))</f>
        <v>1</v>
      </c>
      <c r="J28" s="224">
        <f>IF($R28=1,,VLOOKUP($D28,'2-4'!$D$4:$L$103,7))</f>
        <v>20000</v>
      </c>
      <c r="K28" s="318" t="str">
        <f t="shared" si="4"/>
        <v>教育相談支援研修講師謝礼</v>
      </c>
      <c r="L28" s="319">
        <f>G28</f>
        <v>20000</v>
      </c>
      <c r="M28" s="320">
        <f t="shared" si="5"/>
        <v>1</v>
      </c>
      <c r="N28" s="320">
        <f t="shared" si="6"/>
        <v>1</v>
      </c>
      <c r="O28" s="309">
        <f t="shared" si="9"/>
        <v>20000</v>
      </c>
      <c r="P28" s="380">
        <f>IF($R28=1,"",VLOOKUP($D28,'2-4'!$D$4:$L$103,8))</f>
        <v>0</v>
      </c>
      <c r="Q28" s="279">
        <f>IF($R28=1,"",VLOOKUP($D28,'2-4'!$D$4:$L$103,9))</f>
        <v>0</v>
      </c>
      <c r="R28" s="25">
        <f>IF(AND(ISNA(MATCH($D28,'随時②-2'!$D$4:$D$18,0)),ISNA(MATCH($D28,'随時③-2'!$D$4:$D$18,0))),0,1)</f>
        <v>0</v>
      </c>
      <c r="S28" s="63">
        <f t="shared" si="7"/>
      </c>
      <c r="T28" s="63">
        <f t="shared" si="8"/>
      </c>
    </row>
    <row r="29" spans="1:17" ht="13.5">
      <c r="A29" s="51"/>
      <c r="B29" s="51"/>
      <c r="C29" s="51"/>
      <c r="D29" s="73"/>
      <c r="E29" s="64"/>
      <c r="F29" s="64"/>
      <c r="G29" s="49"/>
      <c r="H29" s="65"/>
      <c r="I29" s="65"/>
      <c r="J29" s="52">
        <f>G29*H29*I29</f>
        <v>0</v>
      </c>
      <c r="K29" s="64"/>
      <c r="L29" s="36"/>
      <c r="M29" s="68"/>
      <c r="N29" s="68"/>
      <c r="O29" s="36"/>
      <c r="P29" s="37"/>
      <c r="Q29" s="69"/>
    </row>
    <row r="30" spans="6:10" ht="24" customHeight="1" thickBot="1">
      <c r="F30" s="28"/>
      <c r="G30" s="28"/>
      <c r="I30" s="539" t="s">
        <v>15</v>
      </c>
      <c r="J30" s="539"/>
    </row>
    <row r="31" spans="4:15" ht="24" customHeight="1" thickBot="1">
      <c r="D31" s="5"/>
      <c r="F31" s="24"/>
      <c r="G31" s="24"/>
      <c r="I31" s="553" t="s">
        <v>96</v>
      </c>
      <c r="J31" s="554"/>
      <c r="K31" s="38" t="s">
        <v>191</v>
      </c>
      <c r="L31" s="540" t="s">
        <v>176</v>
      </c>
      <c r="M31" s="541"/>
      <c r="N31" s="542" t="s">
        <v>192</v>
      </c>
      <c r="O31" s="543"/>
    </row>
    <row r="32" spans="4:15" ht="14.25" thickTop="1">
      <c r="D32" s="5"/>
      <c r="I32" s="555" t="s">
        <v>85</v>
      </c>
      <c r="J32" s="556"/>
      <c r="K32" s="348">
        <f aca="true" t="shared" si="10" ref="K32:K40">SUMIF($E$4:$E$28,$I32,$O$4:$O$28)</f>
        <v>100000</v>
      </c>
      <c r="L32" s="549">
        <f aca="true" t="shared" si="11" ref="L32:L39">SUMIF($E$4:$E$28,$I32,$T$4:$T$28)</f>
        <v>0</v>
      </c>
      <c r="M32" s="550">
        <f aca="true" t="shared" si="12" ref="M32:M40">SUMIF($E$4:$E$28,$I32,$O$4:$O$28)</f>
        <v>100000</v>
      </c>
      <c r="N32" s="551">
        <f>K32-L32</f>
        <v>100000</v>
      </c>
      <c r="O32" s="552"/>
    </row>
    <row r="33" spans="4:15" ht="13.5">
      <c r="D33" s="5"/>
      <c r="I33" s="521" t="s">
        <v>86</v>
      </c>
      <c r="J33" s="522"/>
      <c r="K33" s="351">
        <f t="shared" si="10"/>
        <v>0</v>
      </c>
      <c r="L33" s="527">
        <f t="shared" si="11"/>
        <v>0</v>
      </c>
      <c r="M33" s="528">
        <f t="shared" si="12"/>
        <v>0</v>
      </c>
      <c r="N33" s="529">
        <f aca="true" t="shared" si="13" ref="N33:N40">K33-L33</f>
        <v>0</v>
      </c>
      <c r="O33" s="530"/>
    </row>
    <row r="34" spans="4:15" ht="13.5">
      <c r="D34" s="5"/>
      <c r="I34" s="521" t="s">
        <v>125</v>
      </c>
      <c r="J34" s="522"/>
      <c r="K34" s="347">
        <f t="shared" si="10"/>
        <v>875958.798</v>
      </c>
      <c r="L34" s="527">
        <f t="shared" si="11"/>
        <v>0</v>
      </c>
      <c r="M34" s="528">
        <f t="shared" si="12"/>
        <v>875958.798</v>
      </c>
      <c r="N34" s="529">
        <f t="shared" si="13"/>
        <v>875958.798</v>
      </c>
      <c r="O34" s="530"/>
    </row>
    <row r="35" spans="4:15" ht="13.5">
      <c r="D35" s="5"/>
      <c r="I35" s="521" t="s">
        <v>126</v>
      </c>
      <c r="J35" s="522"/>
      <c r="K35" s="347">
        <f t="shared" si="10"/>
        <v>0</v>
      </c>
      <c r="L35" s="527">
        <f t="shared" si="11"/>
        <v>0</v>
      </c>
      <c r="M35" s="528">
        <f t="shared" si="12"/>
        <v>0</v>
      </c>
      <c r="N35" s="529">
        <f t="shared" si="13"/>
        <v>0</v>
      </c>
      <c r="O35" s="530"/>
    </row>
    <row r="36" spans="4:15" ht="13.5">
      <c r="D36" s="5"/>
      <c r="I36" s="521" t="s">
        <v>87</v>
      </c>
      <c r="J36" s="522"/>
      <c r="K36" s="347">
        <f t="shared" si="10"/>
        <v>0</v>
      </c>
      <c r="L36" s="527">
        <f t="shared" si="11"/>
        <v>0</v>
      </c>
      <c r="M36" s="528">
        <f t="shared" si="12"/>
        <v>0</v>
      </c>
      <c r="N36" s="529">
        <f t="shared" si="13"/>
        <v>0</v>
      </c>
      <c r="O36" s="530"/>
    </row>
    <row r="37" spans="4:15" ht="13.5">
      <c r="D37" s="5"/>
      <c r="I37" s="521" t="s">
        <v>88</v>
      </c>
      <c r="J37" s="522"/>
      <c r="K37" s="347">
        <f t="shared" si="10"/>
        <v>40932</v>
      </c>
      <c r="L37" s="527">
        <f t="shared" si="11"/>
        <v>0</v>
      </c>
      <c r="M37" s="528">
        <f t="shared" si="12"/>
        <v>40932</v>
      </c>
      <c r="N37" s="529">
        <f t="shared" si="13"/>
        <v>40932</v>
      </c>
      <c r="O37" s="530"/>
    </row>
    <row r="38" spans="4:15" ht="13.5">
      <c r="D38" s="5"/>
      <c r="I38" s="521" t="s">
        <v>89</v>
      </c>
      <c r="J38" s="522"/>
      <c r="K38" s="347">
        <f t="shared" si="10"/>
        <v>113264</v>
      </c>
      <c r="L38" s="527">
        <f t="shared" si="11"/>
        <v>3964</v>
      </c>
      <c r="M38" s="528">
        <f t="shared" si="12"/>
        <v>113264</v>
      </c>
      <c r="N38" s="529">
        <f t="shared" si="13"/>
        <v>109300</v>
      </c>
      <c r="O38" s="530"/>
    </row>
    <row r="39" spans="4:15" ht="13.5">
      <c r="D39" s="5"/>
      <c r="I39" s="521" t="s">
        <v>90</v>
      </c>
      <c r="J39" s="522"/>
      <c r="K39" s="347">
        <f t="shared" si="10"/>
        <v>0</v>
      </c>
      <c r="L39" s="527">
        <f t="shared" si="11"/>
        <v>0</v>
      </c>
      <c r="M39" s="528">
        <f t="shared" si="12"/>
        <v>0</v>
      </c>
      <c r="N39" s="529">
        <f t="shared" si="13"/>
        <v>0</v>
      </c>
      <c r="O39" s="530"/>
    </row>
    <row r="40" spans="4:15" ht="14.25" thickBot="1">
      <c r="D40" s="5"/>
      <c r="I40" s="535" t="s">
        <v>138</v>
      </c>
      <c r="J40" s="536"/>
      <c r="K40" s="347">
        <f t="shared" si="10"/>
        <v>48330</v>
      </c>
      <c r="L40" s="531">
        <f>SUMIF($E$4:$E$28,$I40,$T$4:$T$28)+'3-3'!F21</f>
        <v>11000</v>
      </c>
      <c r="M40" s="532">
        <f t="shared" si="12"/>
        <v>48330</v>
      </c>
      <c r="N40" s="533">
        <f t="shared" si="13"/>
        <v>37330</v>
      </c>
      <c r="O40" s="534"/>
    </row>
    <row r="41" spans="4:15" ht="15" thickBot="1" thickTop="1">
      <c r="D41" s="5"/>
      <c r="I41" s="537" t="s">
        <v>15</v>
      </c>
      <c r="J41" s="538"/>
      <c r="K41" s="354">
        <f>SUM(K32:K40)</f>
        <v>1178484.798</v>
      </c>
      <c r="L41" s="523">
        <f>SUM(L32:L40)</f>
        <v>14964</v>
      </c>
      <c r="M41" s="524"/>
      <c r="N41" s="525">
        <f>SUM(N32:N40)</f>
        <v>1163520.798</v>
      </c>
      <c r="O41" s="526"/>
    </row>
  </sheetData>
  <sheetProtection formatCells="0" selectLockedCells="1"/>
  <mergeCells count="36">
    <mergeCell ref="I30:J30"/>
    <mergeCell ref="L31:M31"/>
    <mergeCell ref="N31:O31"/>
    <mergeCell ref="K2:O2"/>
    <mergeCell ref="F2:J2"/>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I39:J39"/>
    <mergeCell ref="L41:M41"/>
    <mergeCell ref="N41:O41"/>
    <mergeCell ref="L39:M39"/>
    <mergeCell ref="N39:O39"/>
    <mergeCell ref="L40:M40"/>
    <mergeCell ref="N40:O40"/>
    <mergeCell ref="I40:J40"/>
    <mergeCell ref="I41:J41"/>
  </mergeCells>
  <conditionalFormatting sqref="B2:E2 J29 J4:J15">
    <cfRule type="cellIs" priority="32" dxfId="28" operator="equal" stopIfTrue="1">
      <formula>0</formula>
    </cfRule>
  </conditionalFormatting>
  <conditionalFormatting sqref="O4:O15 K16:O29">
    <cfRule type="cellIs" priority="30" dxfId="16" operator="notEqual" stopIfTrue="1">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265</v>
      </c>
      <c r="B1" s="557"/>
      <c r="C1" s="557"/>
      <c r="D1" s="557"/>
      <c r="E1" s="557"/>
      <c r="F1" s="557"/>
    </row>
    <row r="2" spans="1:6" ht="15" customHeight="1" thickBot="1">
      <c r="A2" s="8"/>
      <c r="B2" s="7" t="s">
        <v>244</v>
      </c>
      <c r="C2" s="87"/>
      <c r="E2" s="72" t="s">
        <v>220</v>
      </c>
      <c r="F2" s="184">
        <f>SUM(E4:E18)</f>
        <v>48330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649">
        <f>IF('2-3'!B105="","",'2-3'!B105)</f>
      </c>
      <c r="C18" s="649">
        <f>IF('2-3'!C105="","",'2-3'!C105)</f>
      </c>
      <c r="D18" s="650" t="str">
        <f>IF('2-3'!D105="","",'2-3'!D105)</f>
        <v>泉南地区中学校高等学校生徒指導研究協議会</v>
      </c>
      <c r="E18" s="651">
        <f>IF('2-3'!H105="",'2-3'!E105,'2-3'!H105)</f>
        <v>2000</v>
      </c>
      <c r="F18" s="652">
        <f>IF('2-3'!I105="",'2-3'!G105,'2-3'!I105)</f>
      </c>
    </row>
    <row r="19" spans="4:6" ht="15" customHeight="1" thickBot="1">
      <c r="D19" s="80"/>
      <c r="E19" s="80"/>
      <c r="F19" s="81"/>
    </row>
    <row r="20" spans="4:6" ht="15" customHeight="1">
      <c r="D20" s="80"/>
      <c r="E20" s="10" t="s">
        <v>220</v>
      </c>
      <c r="F20" s="181">
        <f>SUM(E4:E18)</f>
        <v>48330</v>
      </c>
    </row>
    <row r="21" spans="4:6" ht="15" customHeight="1">
      <c r="D21" s="80"/>
      <c r="E21" s="39" t="s">
        <v>176</v>
      </c>
      <c r="F21" s="182">
        <f>SUMIF($F$4:$F$18,"◎",$E$4:$E$18)</f>
        <v>11000</v>
      </c>
    </row>
    <row r="22" spans="4:6" ht="15" customHeight="1" thickBot="1">
      <c r="D22" s="80"/>
      <c r="E22" s="82" t="s">
        <v>13</v>
      </c>
      <c r="F22" s="183">
        <f>F20-F21</f>
        <v>37330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2" t="s">
        <v>272</v>
      </c>
      <c r="I1" s="502"/>
      <c r="J1" s="502"/>
      <c r="K1" s="502"/>
    </row>
    <row r="2" spans="8:11" s="1" customFormat="1" ht="18" customHeight="1">
      <c r="H2" s="502" t="s">
        <v>273</v>
      </c>
      <c r="I2" s="502"/>
      <c r="J2" s="502"/>
      <c r="K2" s="502"/>
    </row>
    <row r="3" s="1" customFormat="1" ht="18" customHeight="1">
      <c r="K3" s="2"/>
    </row>
    <row r="4" spans="8:11" s="1" customFormat="1" ht="18" customHeight="1">
      <c r="H4" s="503" t="s">
        <v>296</v>
      </c>
      <c r="I4" s="503"/>
      <c r="J4" s="503"/>
      <c r="K4" s="503"/>
    </row>
    <row r="5" spans="8:11" s="1" customFormat="1" ht="18" customHeight="1">
      <c r="H5" s="504">
        <v>42851</v>
      </c>
      <c r="I5" s="503"/>
      <c r="J5" s="503"/>
      <c r="K5" s="503"/>
    </row>
    <row r="6" spans="1:11" s="1" customFormat="1" ht="18" customHeight="1">
      <c r="A6" s="3" t="s">
        <v>2</v>
      </c>
      <c r="H6" s="4"/>
      <c r="K6" s="11"/>
    </row>
    <row r="7" spans="1:11" s="1" customFormat="1" ht="18" customHeight="1">
      <c r="A7" s="4"/>
      <c r="H7" s="503" t="s">
        <v>274</v>
      </c>
      <c r="I7" s="503"/>
      <c r="J7" s="503"/>
      <c r="K7" s="503"/>
    </row>
    <row r="8" spans="1:11" s="1" customFormat="1" ht="18" customHeight="1">
      <c r="A8" s="4"/>
      <c r="H8" s="503" t="s">
        <v>275</v>
      </c>
      <c r="I8" s="503"/>
      <c r="J8" s="503"/>
      <c r="K8" s="503"/>
    </row>
    <row r="9" spans="1:11" s="1" customFormat="1" ht="42" customHeight="1">
      <c r="A9" s="4"/>
      <c r="H9" s="2"/>
      <c r="K9" s="46"/>
    </row>
    <row r="10" spans="1:11" ht="24" customHeight="1">
      <c r="A10" s="491" t="s">
        <v>256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70000</v>
      </c>
      <c r="C18" s="321">
        <f>'1-2'!G108</f>
        <v>0</v>
      </c>
      <c r="D18" s="321">
        <f>'1-2'!G109</f>
        <v>650000</v>
      </c>
      <c r="E18" s="321">
        <f>'1-2'!G110</f>
        <v>0</v>
      </c>
      <c r="F18" s="321">
        <f>'1-2'!G111</f>
        <v>0</v>
      </c>
      <c r="G18" s="321">
        <f>'1-2'!G112</f>
        <v>50000</v>
      </c>
      <c r="H18" s="321">
        <f>'1-2'!G113</f>
        <v>3964</v>
      </c>
      <c r="I18" s="321">
        <f>'1-2'!G114</f>
        <v>0</v>
      </c>
      <c r="J18" s="435">
        <f>'1-2'!G115</f>
        <v>50330</v>
      </c>
      <c r="K18" s="436">
        <f t="shared" si="0"/>
        <v>824294</v>
      </c>
    </row>
    <row r="19" spans="1:11" ht="58.5" customHeight="1" thickBot="1">
      <c r="A19" s="34" t="s">
        <v>178</v>
      </c>
      <c r="B19" s="437">
        <f>'1-2'!H107</f>
        <v>0</v>
      </c>
      <c r="C19" s="438">
        <f>'1-2'!H108</f>
        <v>0</v>
      </c>
      <c r="D19" s="438">
        <f>'1-2'!H109</f>
        <v>0</v>
      </c>
      <c r="E19" s="438">
        <f>'1-2'!H110</f>
        <v>0</v>
      </c>
      <c r="F19" s="438">
        <f>'1-2'!H111</f>
        <v>0</v>
      </c>
      <c r="G19" s="438">
        <f>'1-2'!H112</f>
        <v>0</v>
      </c>
      <c r="H19" s="438">
        <f>'1-2'!H113</f>
        <v>3964</v>
      </c>
      <c r="I19" s="438">
        <f>'1-2'!H114</f>
        <v>0</v>
      </c>
      <c r="J19" s="439">
        <f>'1-2'!H115</f>
        <v>11000</v>
      </c>
      <c r="K19" s="440">
        <f t="shared" si="0"/>
        <v>14964</v>
      </c>
    </row>
    <row r="20" spans="1:11" ht="58.5" customHeight="1" thickBot="1">
      <c r="A20" s="32" t="s">
        <v>103</v>
      </c>
      <c r="B20" s="441">
        <f>B18-B19</f>
        <v>70000</v>
      </c>
      <c r="C20" s="442">
        <f>C18-C19</f>
        <v>0</v>
      </c>
      <c r="D20" s="442">
        <f aca="true" t="shared" si="1" ref="D20:J20">D18-D19</f>
        <v>650000</v>
      </c>
      <c r="E20" s="442">
        <f t="shared" si="1"/>
        <v>0</v>
      </c>
      <c r="F20" s="442">
        <f t="shared" si="1"/>
        <v>0</v>
      </c>
      <c r="G20" s="442">
        <f t="shared" si="1"/>
        <v>50000</v>
      </c>
      <c r="H20" s="442">
        <f t="shared" si="1"/>
        <v>0</v>
      </c>
      <c r="I20" s="442">
        <f t="shared" si="1"/>
        <v>0</v>
      </c>
      <c r="J20" s="442">
        <f t="shared" si="1"/>
        <v>39330</v>
      </c>
      <c r="K20" s="443">
        <f t="shared" si="0"/>
        <v>809330</v>
      </c>
    </row>
    <row r="21" spans="1:11" ht="58.5" customHeight="1" thickBot="1">
      <c r="A21" s="32" t="s">
        <v>102</v>
      </c>
      <c r="B21" s="441">
        <f>B16+B18</f>
        <v>70000</v>
      </c>
      <c r="C21" s="441">
        <f aca="true" t="shared" si="2" ref="C21:J21">C16+C18</f>
        <v>0</v>
      </c>
      <c r="D21" s="441">
        <f t="shared" si="2"/>
        <v>650000</v>
      </c>
      <c r="E21" s="441">
        <f t="shared" si="2"/>
        <v>0</v>
      </c>
      <c r="F21" s="441">
        <f t="shared" si="2"/>
        <v>0</v>
      </c>
      <c r="G21" s="441">
        <f t="shared" si="2"/>
        <v>50000</v>
      </c>
      <c r="H21" s="441">
        <f t="shared" si="2"/>
        <v>3964</v>
      </c>
      <c r="I21" s="441">
        <f t="shared" si="2"/>
        <v>0</v>
      </c>
      <c r="J21" s="441">
        <f t="shared" si="2"/>
        <v>50330</v>
      </c>
      <c r="K21" s="443">
        <f t="shared" si="0"/>
        <v>824294</v>
      </c>
    </row>
    <row r="22" spans="1:11" ht="58.5" customHeight="1">
      <c r="A22" s="30" t="s">
        <v>163</v>
      </c>
      <c r="B22" s="444">
        <v>30000</v>
      </c>
      <c r="C22" s="340"/>
      <c r="D22" s="340">
        <v>215000</v>
      </c>
      <c r="E22" s="340"/>
      <c r="F22" s="340"/>
      <c r="G22" s="340"/>
      <c r="H22" s="340">
        <v>120000</v>
      </c>
      <c r="I22" s="340"/>
      <c r="J22" s="445"/>
      <c r="K22" s="433">
        <f t="shared" si="0"/>
        <v>365000</v>
      </c>
    </row>
    <row r="23" spans="1:11" ht="58.5" customHeight="1" thickBot="1">
      <c r="A23" s="22" t="s">
        <v>164</v>
      </c>
      <c r="B23" s="219">
        <f>B21+B22</f>
        <v>100000</v>
      </c>
      <c r="C23" s="220">
        <f>C21+C22</f>
        <v>0</v>
      </c>
      <c r="D23" s="220">
        <f aca="true" t="shared" si="3" ref="D23:J23">D21+D22</f>
        <v>865000</v>
      </c>
      <c r="E23" s="220">
        <f t="shared" si="3"/>
        <v>0</v>
      </c>
      <c r="F23" s="220">
        <f t="shared" si="3"/>
        <v>0</v>
      </c>
      <c r="G23" s="220">
        <f t="shared" si="3"/>
        <v>50000</v>
      </c>
      <c r="H23" s="220">
        <f t="shared" si="3"/>
        <v>123964</v>
      </c>
      <c r="I23" s="220">
        <f t="shared" si="3"/>
        <v>0</v>
      </c>
      <c r="J23" s="220">
        <f t="shared" si="3"/>
        <v>50330</v>
      </c>
      <c r="K23" s="222">
        <f t="shared" si="0"/>
        <v>1189294</v>
      </c>
    </row>
    <row r="24" spans="1:11" ht="39" customHeight="1" thickBot="1">
      <c r="A24" s="32" t="s">
        <v>104</v>
      </c>
      <c r="B24" s="558" t="s">
        <v>297</v>
      </c>
      <c r="C24" s="558"/>
      <c r="D24" s="558"/>
      <c r="E24" s="558"/>
      <c r="F24" s="558"/>
      <c r="G24" s="558"/>
      <c r="H24" s="558"/>
      <c r="I24" s="558"/>
      <c r="J24" s="558"/>
      <c r="K24" s="55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7" sqref="C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7" t="s">
        <v>111</v>
      </c>
      <c r="L3" s="295" t="s">
        <v>94</v>
      </c>
      <c r="M3" s="29" t="s">
        <v>99</v>
      </c>
    </row>
    <row r="4" spans="1:13" ht="13.5" customHeight="1">
      <c r="A4" s="240"/>
      <c r="B4" s="241"/>
      <c r="C4" s="242"/>
      <c r="D4" s="243">
        <v>1</v>
      </c>
      <c r="E4" s="244" t="s">
        <v>138</v>
      </c>
      <c r="F4" s="245" t="s">
        <v>225</v>
      </c>
      <c r="G4" s="246">
        <v>50330</v>
      </c>
      <c r="H4" s="247">
        <v>1</v>
      </c>
      <c r="I4" s="247">
        <v>1</v>
      </c>
      <c r="J4" s="248">
        <f>G4*H4*I4</f>
        <v>50330</v>
      </c>
      <c r="K4" s="249"/>
      <c r="L4" s="250" t="s">
        <v>226</v>
      </c>
      <c r="M4" s="29">
        <f aca="true" t="shared" si="0" ref="M4:M67">IF(K4="◎",J4,"")</f>
      </c>
    </row>
    <row r="5" spans="1:13" ht="13.5" customHeight="1">
      <c r="A5" s="578">
        <v>1</v>
      </c>
      <c r="B5" s="581" t="s">
        <v>288</v>
      </c>
      <c r="C5" s="584" t="s">
        <v>289</v>
      </c>
      <c r="D5" s="254">
        <v>2</v>
      </c>
      <c r="E5" s="256" t="s">
        <v>88</v>
      </c>
      <c r="F5" s="275" t="s">
        <v>286</v>
      </c>
      <c r="G5" s="276">
        <v>50000</v>
      </c>
      <c r="H5" s="258">
        <v>1</v>
      </c>
      <c r="I5" s="258">
        <v>1</v>
      </c>
      <c r="J5" s="259">
        <f>G5*H5*I5</f>
        <v>50000</v>
      </c>
      <c r="K5" s="260"/>
      <c r="L5" s="261"/>
      <c r="M5" s="29">
        <f t="shared" si="0"/>
      </c>
    </row>
    <row r="6" spans="1:13" ht="13.5" customHeight="1">
      <c r="A6" s="580"/>
      <c r="B6" s="583"/>
      <c r="C6" s="586"/>
      <c r="D6" s="254">
        <v>3</v>
      </c>
      <c r="E6" s="256" t="s">
        <v>125</v>
      </c>
      <c r="F6" s="256" t="s">
        <v>283</v>
      </c>
      <c r="G6" s="257">
        <v>80000</v>
      </c>
      <c r="H6" s="258">
        <v>1</v>
      </c>
      <c r="I6" s="258">
        <v>1</v>
      </c>
      <c r="J6" s="259">
        <f aca="true" t="shared" si="1" ref="J6:J69">G6*H6*I6</f>
        <v>80000</v>
      </c>
      <c r="K6" s="260"/>
      <c r="L6" s="261"/>
      <c r="M6" s="29">
        <f t="shared" si="0"/>
      </c>
    </row>
    <row r="7" spans="1:13" ht="13.5" customHeight="1">
      <c r="A7" s="578">
        <v>2</v>
      </c>
      <c r="B7" s="581" t="s">
        <v>290</v>
      </c>
      <c r="C7" s="587" t="s">
        <v>291</v>
      </c>
      <c r="D7" s="254">
        <v>4</v>
      </c>
      <c r="E7" s="255" t="s">
        <v>85</v>
      </c>
      <c r="F7" s="256" t="s">
        <v>278</v>
      </c>
      <c r="G7" s="257">
        <v>10000</v>
      </c>
      <c r="H7" s="258">
        <v>1</v>
      </c>
      <c r="I7" s="258">
        <v>2</v>
      </c>
      <c r="J7" s="259">
        <f t="shared" si="1"/>
        <v>20000</v>
      </c>
      <c r="K7" s="260"/>
      <c r="L7" s="261"/>
      <c r="M7" s="29">
        <f t="shared" si="0"/>
      </c>
    </row>
    <row r="8" spans="1:13" ht="13.5" customHeight="1">
      <c r="A8" s="579"/>
      <c r="B8" s="582"/>
      <c r="C8" s="588"/>
      <c r="D8" s="263">
        <v>5</v>
      </c>
      <c r="E8" s="255" t="s">
        <v>85</v>
      </c>
      <c r="F8" s="256" t="s">
        <v>279</v>
      </c>
      <c r="G8" s="257">
        <v>10000</v>
      </c>
      <c r="H8" s="258">
        <v>1</v>
      </c>
      <c r="I8" s="258">
        <v>1</v>
      </c>
      <c r="J8" s="259">
        <f t="shared" si="1"/>
        <v>10000</v>
      </c>
      <c r="K8" s="260"/>
      <c r="L8" s="261"/>
      <c r="M8" s="29">
        <f t="shared" si="0"/>
      </c>
    </row>
    <row r="9" spans="1:13" ht="13.5" customHeight="1">
      <c r="A9" s="579"/>
      <c r="B9" s="582"/>
      <c r="C9" s="588"/>
      <c r="D9" s="254">
        <v>6</v>
      </c>
      <c r="E9" s="255" t="s">
        <v>85</v>
      </c>
      <c r="F9" s="256" t="s">
        <v>280</v>
      </c>
      <c r="G9" s="257">
        <v>5000</v>
      </c>
      <c r="H9" s="258">
        <v>1</v>
      </c>
      <c r="I9" s="258">
        <v>8</v>
      </c>
      <c r="J9" s="259">
        <f t="shared" si="1"/>
        <v>40000</v>
      </c>
      <c r="K9" s="260"/>
      <c r="L9" s="261"/>
      <c r="M9" s="29">
        <f t="shared" si="0"/>
      </c>
    </row>
    <row r="10" spans="1:13" ht="13.5" customHeight="1">
      <c r="A10" s="579"/>
      <c r="B10" s="582"/>
      <c r="C10" s="588"/>
      <c r="D10" s="254">
        <v>7</v>
      </c>
      <c r="E10" s="256" t="s">
        <v>125</v>
      </c>
      <c r="F10" s="256" t="s">
        <v>284</v>
      </c>
      <c r="G10" s="257">
        <v>30000</v>
      </c>
      <c r="H10" s="258">
        <v>4</v>
      </c>
      <c r="I10" s="258">
        <v>1</v>
      </c>
      <c r="J10" s="259">
        <f t="shared" si="1"/>
        <v>120000</v>
      </c>
      <c r="K10" s="260"/>
      <c r="L10" s="261"/>
      <c r="M10" s="29">
        <f t="shared" si="0"/>
      </c>
    </row>
    <row r="11" spans="1:13" ht="13.5" customHeight="1">
      <c r="A11" s="580"/>
      <c r="B11" s="583"/>
      <c r="C11" s="589"/>
      <c r="D11" s="263">
        <v>8</v>
      </c>
      <c r="E11" s="255" t="s">
        <v>125</v>
      </c>
      <c r="F11" s="255" t="s">
        <v>293</v>
      </c>
      <c r="G11" s="269">
        <v>80000</v>
      </c>
      <c r="H11" s="270">
        <v>1</v>
      </c>
      <c r="I11" s="266">
        <v>1</v>
      </c>
      <c r="J11" s="259">
        <f t="shared" si="1"/>
        <v>80000</v>
      </c>
      <c r="K11" s="267"/>
      <c r="L11" s="268"/>
      <c r="M11" s="29">
        <f t="shared" si="0"/>
      </c>
    </row>
    <row r="12" spans="1:13" ht="13.5" customHeight="1">
      <c r="A12" s="578">
        <v>3</v>
      </c>
      <c r="B12" s="581" t="s">
        <v>292</v>
      </c>
      <c r="C12" s="584" t="s">
        <v>294</v>
      </c>
      <c r="D12" s="263">
        <v>9</v>
      </c>
      <c r="E12" s="256" t="s">
        <v>125</v>
      </c>
      <c r="F12" s="256" t="s">
        <v>285</v>
      </c>
      <c r="G12" s="257">
        <v>30</v>
      </c>
      <c r="H12" s="258">
        <v>3000</v>
      </c>
      <c r="I12" s="270">
        <v>1</v>
      </c>
      <c r="J12" s="259">
        <f t="shared" si="1"/>
        <v>90000</v>
      </c>
      <c r="K12" s="271"/>
      <c r="L12" s="272"/>
      <c r="M12" s="29">
        <f t="shared" si="0"/>
      </c>
    </row>
    <row r="13" spans="1:13" ht="13.5" customHeight="1">
      <c r="A13" s="579"/>
      <c r="B13" s="582"/>
      <c r="C13" s="585"/>
      <c r="D13" s="273">
        <v>10</v>
      </c>
      <c r="E13" s="255" t="s">
        <v>125</v>
      </c>
      <c r="F13" s="256" t="s">
        <v>281</v>
      </c>
      <c r="G13" s="257">
        <v>80000</v>
      </c>
      <c r="H13" s="258">
        <v>2</v>
      </c>
      <c r="I13" s="270">
        <v>1</v>
      </c>
      <c r="J13" s="259">
        <f t="shared" si="1"/>
        <v>160000</v>
      </c>
      <c r="K13" s="260"/>
      <c r="L13" s="261"/>
      <c r="M13" s="29">
        <f t="shared" si="0"/>
      </c>
    </row>
    <row r="14" spans="1:13" ht="13.5" customHeight="1">
      <c r="A14" s="579"/>
      <c r="B14" s="582"/>
      <c r="C14" s="585"/>
      <c r="D14" s="254">
        <v>11</v>
      </c>
      <c r="E14" s="255" t="s">
        <v>125</v>
      </c>
      <c r="F14" s="256" t="s">
        <v>282</v>
      </c>
      <c r="G14" s="257">
        <v>15000</v>
      </c>
      <c r="H14" s="258">
        <v>8</v>
      </c>
      <c r="I14" s="258">
        <v>1</v>
      </c>
      <c r="J14" s="259">
        <f t="shared" si="1"/>
        <v>120000</v>
      </c>
      <c r="K14" s="274"/>
      <c r="L14" s="261"/>
      <c r="M14" s="29">
        <f t="shared" si="0"/>
      </c>
    </row>
    <row r="15" spans="1:13" ht="13.5" customHeight="1">
      <c r="A15" s="580"/>
      <c r="B15" s="583"/>
      <c r="C15" s="586"/>
      <c r="D15" s="254">
        <v>12</v>
      </c>
      <c r="E15" s="256" t="s">
        <v>89</v>
      </c>
      <c r="F15" s="256" t="s">
        <v>287</v>
      </c>
      <c r="G15" s="257">
        <v>3964</v>
      </c>
      <c r="H15" s="258">
        <v>1</v>
      </c>
      <c r="I15" s="277">
        <v>1</v>
      </c>
      <c r="J15" s="259">
        <f t="shared" si="1"/>
        <v>3964</v>
      </c>
      <c r="K15" s="278" t="s">
        <v>276</v>
      </c>
      <c r="L15" s="279" t="s">
        <v>295</v>
      </c>
      <c r="M15" s="29">
        <f t="shared" si="0"/>
        <v>3964</v>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5"/>
      <c r="F19" s="256"/>
      <c r="G19" s="257"/>
      <c r="H19" s="258"/>
      <c r="I19" s="258"/>
      <c r="J19" s="259">
        <f t="shared" si="1"/>
        <v>0</v>
      </c>
      <c r="K19" s="260"/>
      <c r="L19" s="261"/>
      <c r="M19" s="29">
        <f t="shared" si="0"/>
      </c>
    </row>
    <row r="20" spans="1:13" ht="13.5" customHeight="1">
      <c r="A20" s="251"/>
      <c r="B20" s="252"/>
      <c r="C20" s="253"/>
      <c r="D20" s="254">
        <v>17</v>
      </c>
      <c r="E20" s="255"/>
      <c r="F20" s="256"/>
      <c r="G20" s="257"/>
      <c r="H20" s="258"/>
      <c r="I20" s="258"/>
      <c r="J20" s="259">
        <f t="shared" si="1"/>
        <v>0</v>
      </c>
      <c r="K20" s="260"/>
      <c r="L20" s="261"/>
      <c r="M20" s="29">
        <f t="shared" si="0"/>
      </c>
    </row>
    <row r="21" spans="1:13" ht="13.5" customHeight="1">
      <c r="A21" s="251"/>
      <c r="B21" s="252"/>
      <c r="C21" s="253"/>
      <c r="D21" s="254">
        <v>18</v>
      </c>
      <c r="E21" s="255"/>
      <c r="F21" s="256"/>
      <c r="G21" s="257"/>
      <c r="H21" s="258"/>
      <c r="I21" s="258"/>
      <c r="J21" s="259">
        <f t="shared" si="1"/>
        <v>0</v>
      </c>
      <c r="K21" s="260"/>
      <c r="L21" s="261"/>
      <c r="M21" s="29">
        <f t="shared" si="0"/>
      </c>
    </row>
    <row r="22" spans="1:13" ht="13.5" customHeight="1">
      <c r="A22" s="251"/>
      <c r="B22" s="252"/>
      <c r="C22" s="253"/>
      <c r="D22" s="254">
        <v>19</v>
      </c>
      <c r="E22" s="255"/>
      <c r="F22" s="256"/>
      <c r="G22" s="257"/>
      <c r="H22" s="258"/>
      <c r="I22" s="258"/>
      <c r="J22" s="259">
        <f t="shared" si="1"/>
        <v>0</v>
      </c>
      <c r="K22" s="260"/>
      <c r="L22" s="261"/>
      <c r="M22" s="29">
        <f t="shared" si="0"/>
      </c>
    </row>
    <row r="23" spans="1:13" ht="13.5" customHeight="1">
      <c r="A23" s="251"/>
      <c r="B23" s="252"/>
      <c r="C23" s="253"/>
      <c r="D23" s="254">
        <v>20</v>
      </c>
      <c r="E23" s="255"/>
      <c r="F23" s="256"/>
      <c r="G23" s="257"/>
      <c r="H23" s="258"/>
      <c r="I23" s="258"/>
      <c r="J23" s="259">
        <f t="shared" si="1"/>
        <v>0</v>
      </c>
      <c r="K23" s="260"/>
      <c r="L23" s="261"/>
      <c r="M23" s="29">
        <f t="shared" si="0"/>
      </c>
    </row>
    <row r="24" spans="1:13" ht="13.5" customHeight="1">
      <c r="A24" s="251"/>
      <c r="B24" s="280"/>
      <c r="C24" s="253"/>
      <c r="D24" s="254">
        <v>21</v>
      </c>
      <c r="E24" s="256"/>
      <c r="F24" s="256"/>
      <c r="G24" s="257"/>
      <c r="H24" s="258"/>
      <c r="I24" s="258"/>
      <c r="J24" s="259">
        <f t="shared" si="1"/>
        <v>0</v>
      </c>
      <c r="K24" s="260"/>
      <c r="L24" s="261"/>
      <c r="M24" s="29">
        <f t="shared" si="0"/>
      </c>
    </row>
    <row r="25" spans="1:13" ht="13.5" customHeight="1">
      <c r="A25" s="251"/>
      <c r="B25" s="280"/>
      <c r="C25" s="253"/>
      <c r="D25" s="254">
        <v>22</v>
      </c>
      <c r="E25" s="264"/>
      <c r="F25" s="264"/>
      <c r="G25" s="265"/>
      <c r="H25" s="266"/>
      <c r="I25" s="266"/>
      <c r="J25" s="259">
        <f t="shared" si="1"/>
        <v>0</v>
      </c>
      <c r="K25" s="260"/>
      <c r="L25" s="261"/>
      <c r="M25" s="29">
        <f t="shared" si="0"/>
      </c>
    </row>
    <row r="26" spans="1:13" ht="13.5" customHeight="1">
      <c r="A26" s="251"/>
      <c r="B26" s="280"/>
      <c r="C26" s="253"/>
      <c r="D26" s="254">
        <v>23</v>
      </c>
      <c r="E26" s="255"/>
      <c r="F26" s="255"/>
      <c r="G26" s="269"/>
      <c r="H26" s="270"/>
      <c r="I26" s="270"/>
      <c r="J26" s="259">
        <f t="shared" si="1"/>
        <v>0</v>
      </c>
      <c r="K26" s="260"/>
      <c r="L26" s="261"/>
      <c r="M26" s="29">
        <f t="shared" si="0"/>
      </c>
    </row>
    <row r="27" spans="1:13" ht="13.5" customHeight="1">
      <c r="A27" s="251"/>
      <c r="B27" s="280"/>
      <c r="C27" s="253"/>
      <c r="D27" s="254">
        <v>24</v>
      </c>
      <c r="E27" s="255"/>
      <c r="F27" s="255"/>
      <c r="G27" s="269"/>
      <c r="H27" s="270"/>
      <c r="I27" s="270"/>
      <c r="J27" s="259">
        <f t="shared" si="1"/>
        <v>0</v>
      </c>
      <c r="K27" s="260"/>
      <c r="L27" s="261"/>
      <c r="M27" s="29">
        <f t="shared" si="0"/>
      </c>
    </row>
    <row r="28" spans="1:13" ht="13.5" customHeight="1">
      <c r="A28" s="251"/>
      <c r="B28" s="280"/>
      <c r="C28" s="253"/>
      <c r="D28" s="263">
        <v>25</v>
      </c>
      <c r="E28" s="256"/>
      <c r="F28" s="256"/>
      <c r="G28" s="257"/>
      <c r="H28" s="258"/>
      <c r="I28" s="258"/>
      <c r="J28" s="259">
        <f t="shared" si="1"/>
        <v>0</v>
      </c>
      <c r="K28" s="260"/>
      <c r="L28" s="261"/>
      <c r="M28" s="29">
        <f t="shared" si="0"/>
      </c>
    </row>
    <row r="29" spans="1:13" ht="13.5" customHeight="1">
      <c r="A29" s="251"/>
      <c r="B29" s="280"/>
      <c r="C29" s="253"/>
      <c r="D29" s="254">
        <v>26</v>
      </c>
      <c r="E29" s="275"/>
      <c r="F29" s="275"/>
      <c r="G29" s="276"/>
      <c r="H29" s="277"/>
      <c r="I29" s="277"/>
      <c r="J29" s="259">
        <f>G29*H29*I29</f>
        <v>0</v>
      </c>
      <c r="K29" s="260"/>
      <c r="L29" s="261"/>
      <c r="M29" s="29">
        <f t="shared" si="0"/>
      </c>
    </row>
    <row r="30" spans="1:13" ht="13.5" customHeight="1">
      <c r="A30" s="251"/>
      <c r="B30" s="280"/>
      <c r="C30" s="253"/>
      <c r="D30" s="254">
        <v>27</v>
      </c>
      <c r="E30" s="256"/>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74" t="s">
        <v>176</v>
      </c>
      <c r="I106" s="574"/>
      <c r="J106" s="574" t="s">
        <v>173</v>
      </c>
      <c r="K106" s="575"/>
    </row>
    <row r="107" spans="4:11" ht="14.25" thickTop="1">
      <c r="D107" s="67"/>
      <c r="F107" s="296" t="s">
        <v>85</v>
      </c>
      <c r="G107" s="226">
        <f>SUMIF($E$4:$E$103,F107,$J$4:$J$103)</f>
        <v>70000</v>
      </c>
      <c r="H107" s="576">
        <f>SUMIF($E$4:$E$103,F107,$M$4:$M$103)</f>
        <v>0</v>
      </c>
      <c r="I107" s="576"/>
      <c r="J107" s="576">
        <f aca="true" t="shared" si="5" ref="J107:J115">G107-H107</f>
        <v>70000</v>
      </c>
      <c r="K107" s="577"/>
    </row>
    <row r="108" spans="4:11" ht="13.5">
      <c r="D108" s="67"/>
      <c r="F108" s="297" t="s">
        <v>86</v>
      </c>
      <c r="G108" s="226">
        <f aca="true" t="shared" si="6" ref="G108:G115">SUMIF($E$4:$E$103,F108,$J$4:$J$103)</f>
        <v>0</v>
      </c>
      <c r="H108" s="568">
        <f aca="true" t="shared" si="7" ref="H108:H114">SUMIF($E$4:$E$103,F108,$M$4:$M$103)</f>
        <v>0</v>
      </c>
      <c r="I108" s="568"/>
      <c r="J108" s="568">
        <f t="shared" si="5"/>
        <v>0</v>
      </c>
      <c r="K108" s="569"/>
    </row>
    <row r="109" spans="4:11" ht="13.5">
      <c r="D109" s="67"/>
      <c r="F109" s="297" t="s">
        <v>125</v>
      </c>
      <c r="G109" s="226">
        <f t="shared" si="6"/>
        <v>650000</v>
      </c>
      <c r="H109" s="568">
        <f t="shared" si="7"/>
        <v>0</v>
      </c>
      <c r="I109" s="568"/>
      <c r="J109" s="568">
        <f t="shared" si="5"/>
        <v>650000</v>
      </c>
      <c r="K109" s="569"/>
    </row>
    <row r="110" spans="4:11" ht="13.5">
      <c r="D110" s="67"/>
      <c r="F110" s="297" t="s">
        <v>126</v>
      </c>
      <c r="G110" s="226">
        <f t="shared" si="6"/>
        <v>0</v>
      </c>
      <c r="H110" s="568">
        <f t="shared" si="7"/>
        <v>0</v>
      </c>
      <c r="I110" s="568"/>
      <c r="J110" s="568">
        <f t="shared" si="5"/>
        <v>0</v>
      </c>
      <c r="K110" s="569"/>
    </row>
    <row r="111" spans="4:11" ht="13.5">
      <c r="D111" s="67"/>
      <c r="F111" s="297" t="s">
        <v>87</v>
      </c>
      <c r="G111" s="226">
        <f t="shared" si="6"/>
        <v>0</v>
      </c>
      <c r="H111" s="568">
        <f t="shared" si="7"/>
        <v>0</v>
      </c>
      <c r="I111" s="568"/>
      <c r="J111" s="568">
        <f t="shared" si="5"/>
        <v>0</v>
      </c>
      <c r="K111" s="569"/>
    </row>
    <row r="112" spans="4:11" ht="13.5">
      <c r="D112" s="67"/>
      <c r="F112" s="297" t="s">
        <v>88</v>
      </c>
      <c r="G112" s="226">
        <f t="shared" si="6"/>
        <v>50000</v>
      </c>
      <c r="H112" s="568">
        <f t="shared" si="7"/>
        <v>0</v>
      </c>
      <c r="I112" s="568"/>
      <c r="J112" s="568">
        <f t="shared" si="5"/>
        <v>50000</v>
      </c>
      <c r="K112" s="569"/>
    </row>
    <row r="113" spans="4:11" ht="13.5">
      <c r="D113" s="67"/>
      <c r="F113" s="297" t="s">
        <v>89</v>
      </c>
      <c r="G113" s="226">
        <f t="shared" si="6"/>
        <v>3964</v>
      </c>
      <c r="H113" s="568">
        <f t="shared" si="7"/>
        <v>3964</v>
      </c>
      <c r="I113" s="568"/>
      <c r="J113" s="568">
        <f t="shared" si="5"/>
        <v>0</v>
      </c>
      <c r="K113" s="569"/>
    </row>
    <row r="114" spans="4:11" ht="13.5">
      <c r="D114" s="67"/>
      <c r="F114" s="297" t="s">
        <v>90</v>
      </c>
      <c r="G114" s="226">
        <f t="shared" si="6"/>
        <v>0</v>
      </c>
      <c r="H114" s="568">
        <f t="shared" si="7"/>
        <v>0</v>
      </c>
      <c r="I114" s="568"/>
      <c r="J114" s="568">
        <f t="shared" si="5"/>
        <v>0</v>
      </c>
      <c r="K114" s="569"/>
    </row>
    <row r="115" spans="4:11" ht="14.25" thickBot="1">
      <c r="D115" s="67"/>
      <c r="F115" s="428" t="s">
        <v>138</v>
      </c>
      <c r="G115" s="429">
        <f t="shared" si="6"/>
        <v>50330</v>
      </c>
      <c r="H115" s="570">
        <f>SUMIF($E$4:$E$103,F115,$M$4:$M$103)+'1-3'!F121</f>
        <v>11000</v>
      </c>
      <c r="I115" s="570"/>
      <c r="J115" s="570">
        <f t="shared" si="5"/>
        <v>39330</v>
      </c>
      <c r="K115" s="571"/>
    </row>
    <row r="116" spans="4:11" ht="15" thickBot="1" thickTop="1">
      <c r="D116" s="47"/>
      <c r="F116" s="426" t="s">
        <v>15</v>
      </c>
      <c r="G116" s="427">
        <f>SUM(G107:G115)</f>
        <v>824294</v>
      </c>
      <c r="H116" s="572">
        <f>SUM(H107:I115)</f>
        <v>14964</v>
      </c>
      <c r="I116" s="572"/>
      <c r="J116" s="572">
        <f>SUM(J107:K115)</f>
        <v>809330</v>
      </c>
      <c r="K116" s="573"/>
    </row>
  </sheetData>
  <sheetProtection sheet="1" formatCells="0" selectLockedCells="1"/>
  <mergeCells count="31">
    <mergeCell ref="A12:A15"/>
    <mergeCell ref="B12:B15"/>
    <mergeCell ref="C12:C15"/>
    <mergeCell ref="A5:A6"/>
    <mergeCell ref="B5:B6"/>
    <mergeCell ref="C5:C6"/>
    <mergeCell ref="A7:A11"/>
    <mergeCell ref="B7:B11"/>
    <mergeCell ref="C7:C11"/>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2" activePane="bottomLeft" state="frozen"/>
      <selection pane="topLeft" activeCell="B16" sqref="B16:K23"/>
      <selection pane="bottomLeft" activeCell="D108" sqref="D10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258</v>
      </c>
      <c r="B1" s="557"/>
      <c r="C1" s="557"/>
      <c r="D1" s="557"/>
      <c r="E1" s="557"/>
      <c r="F1" s="557"/>
    </row>
    <row r="2" spans="1:6" ht="15" customHeight="1" thickBot="1">
      <c r="A2" s="8"/>
      <c r="B2" s="7" t="s">
        <v>244</v>
      </c>
      <c r="C2" s="87"/>
      <c r="E2" s="72" t="s">
        <v>185</v>
      </c>
      <c r="F2" s="464">
        <f>SUM(E4:E118)</f>
        <v>50330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276</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276</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277</v>
      </c>
      <c r="E104" s="191">
        <v>2000</v>
      </c>
      <c r="F104" s="110"/>
    </row>
    <row r="105" spans="1:6" ht="15" customHeight="1">
      <c r="A105" s="102">
        <v>102</v>
      </c>
      <c r="B105" s="153"/>
      <c r="C105" s="153"/>
      <c r="D105" s="112" t="s">
        <v>316</v>
      </c>
      <c r="E105" s="185">
        <v>2000</v>
      </c>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50330</v>
      </c>
    </row>
    <row r="121" spans="4:6" ht="15" customHeight="1">
      <c r="D121" s="80"/>
      <c r="E121" s="39" t="s">
        <v>176</v>
      </c>
      <c r="F121" s="182">
        <f>SUMIF(F4:F118,"◎",E4:E118)</f>
        <v>11000</v>
      </c>
    </row>
    <row r="122" spans="4:6" ht="15" customHeight="1" thickBot="1">
      <c r="D122" s="80"/>
      <c r="E122" s="82" t="s">
        <v>13</v>
      </c>
      <c r="F122" s="183">
        <f>F120-F121</f>
        <v>39330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2" t="s">
        <v>272</v>
      </c>
      <c r="I1" s="502"/>
      <c r="J1" s="502"/>
      <c r="K1" s="502"/>
    </row>
    <row r="2" spans="8:11" s="1" customFormat="1" ht="18" customHeight="1">
      <c r="H2" s="502" t="s">
        <v>273</v>
      </c>
      <c r="I2" s="502"/>
      <c r="J2" s="502"/>
      <c r="K2" s="502"/>
    </row>
    <row r="3" s="1" customFormat="1" ht="18" customHeight="1">
      <c r="K3" s="2"/>
    </row>
    <row r="4" spans="8:11" s="1" customFormat="1" ht="18" customHeight="1">
      <c r="H4" s="503" t="s">
        <v>318</v>
      </c>
      <c r="I4" s="503"/>
      <c r="J4" s="503"/>
      <c r="K4" s="503"/>
    </row>
    <row r="5" spans="8:11" s="1" customFormat="1" ht="18" customHeight="1">
      <c r="H5" s="504">
        <v>42950</v>
      </c>
      <c r="I5" s="503"/>
      <c r="J5" s="503"/>
      <c r="K5" s="503"/>
    </row>
    <row r="6" spans="1:11" s="1" customFormat="1" ht="18" customHeight="1">
      <c r="A6" s="3" t="s">
        <v>2</v>
      </c>
      <c r="H6" s="4"/>
      <c r="K6" s="11"/>
    </row>
    <row r="7" spans="1:11" s="1" customFormat="1" ht="18" customHeight="1">
      <c r="A7" s="4"/>
      <c r="H7" s="503" t="s">
        <v>274</v>
      </c>
      <c r="I7" s="503"/>
      <c r="J7" s="503"/>
      <c r="K7" s="503"/>
    </row>
    <row r="8" spans="1:11" s="1" customFormat="1" ht="18" customHeight="1">
      <c r="A8" s="4"/>
      <c r="H8" s="503" t="s">
        <v>275</v>
      </c>
      <c r="I8" s="503"/>
      <c r="J8" s="503"/>
      <c r="K8" s="503"/>
    </row>
    <row r="9" spans="1:11" s="1" customFormat="1" ht="42" customHeight="1">
      <c r="A9" s="4"/>
      <c r="H9" s="2"/>
      <c r="K9" s="46"/>
    </row>
    <row r="10" spans="1:11" ht="24" customHeight="1">
      <c r="A10" s="491" t="s">
        <v>259</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90">
        <f>'1-1'!D14:F14</f>
        <v>1190000</v>
      </c>
      <c r="E14" s="591"/>
      <c r="F14" s="592"/>
      <c r="G14" s="593"/>
      <c r="H14" s="594"/>
      <c r="I14" s="594"/>
      <c r="J14" s="594"/>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3">
        <f>'随時②-1'!B20</f>
        <v>70000</v>
      </c>
      <c r="C16" s="224">
        <f>'随時②-1'!C20</f>
        <v>0</v>
      </c>
      <c r="D16" s="224">
        <f>'随時②-1'!D20</f>
        <v>650000</v>
      </c>
      <c r="E16" s="224">
        <f>'随時②-1'!E20</f>
        <v>0</v>
      </c>
      <c r="F16" s="224">
        <f>'随時②-1'!F20</f>
        <v>0</v>
      </c>
      <c r="G16" s="224">
        <f>'随時②-1'!G20</f>
        <v>50000</v>
      </c>
      <c r="H16" s="224">
        <f>'随時②-1'!H20</f>
        <v>3964</v>
      </c>
      <c r="I16" s="224">
        <f>'随時②-1'!I20</f>
        <v>0</v>
      </c>
      <c r="J16" s="225">
        <f>'随時②-1'!J20</f>
        <v>50330</v>
      </c>
      <c r="K16" s="433">
        <f aca="true" t="shared" si="0" ref="K16:K26">SUM(B16:J16)</f>
        <v>824294</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3964</v>
      </c>
      <c r="I17" s="224">
        <f>'随時①-1'!I16+'1-1'!I19+'随時②-1'!I18</f>
        <v>0</v>
      </c>
      <c r="J17" s="224">
        <f>'随時①-1'!J16+'1-1'!J19+'随時②-1'!J18</f>
        <v>11000</v>
      </c>
      <c r="K17" s="433">
        <f t="shared" si="0"/>
        <v>14964</v>
      </c>
    </row>
    <row r="18" spans="1:11" ht="39" customHeight="1" thickBot="1">
      <c r="A18" s="30" t="s">
        <v>106</v>
      </c>
      <c r="B18" s="223">
        <f>B16-B17</f>
        <v>70000</v>
      </c>
      <c r="C18" s="224">
        <f>C16-C17</f>
        <v>0</v>
      </c>
      <c r="D18" s="224">
        <f aca="true" t="shared" si="1" ref="D18:J18">D16-D17</f>
        <v>650000</v>
      </c>
      <c r="E18" s="224">
        <f t="shared" si="1"/>
        <v>0</v>
      </c>
      <c r="F18" s="224">
        <f t="shared" si="1"/>
        <v>0</v>
      </c>
      <c r="G18" s="224">
        <f t="shared" si="1"/>
        <v>50000</v>
      </c>
      <c r="H18" s="224">
        <f t="shared" si="1"/>
        <v>0</v>
      </c>
      <c r="I18" s="224">
        <f t="shared" si="1"/>
        <v>0</v>
      </c>
      <c r="J18" s="224">
        <f t="shared" si="1"/>
        <v>39330</v>
      </c>
      <c r="K18" s="433">
        <f t="shared" si="0"/>
        <v>809330</v>
      </c>
    </row>
    <row r="19" spans="1:11" ht="39" customHeight="1" thickBot="1">
      <c r="A19" s="32" t="s">
        <v>174</v>
      </c>
      <c r="B19" s="441">
        <f>'2-2'!K142</f>
        <v>20000</v>
      </c>
      <c r="C19" s="442">
        <f>'2-2'!K143</f>
        <v>0</v>
      </c>
      <c r="D19" s="442">
        <f>'2-2'!K144</f>
        <v>460497.8</v>
      </c>
      <c r="E19" s="442">
        <f>'2-2'!K145</f>
        <v>0</v>
      </c>
      <c r="F19" s="442">
        <f>'2-2'!K146</f>
        <v>0</v>
      </c>
      <c r="G19" s="442">
        <f>'2-2'!K147</f>
        <v>40932</v>
      </c>
      <c r="H19" s="442">
        <f>'2-2'!K148</f>
        <v>3964</v>
      </c>
      <c r="I19" s="442">
        <f>'2-2'!K149</f>
        <v>0</v>
      </c>
      <c r="J19" s="446">
        <f>'2-2'!K150</f>
        <v>48330</v>
      </c>
      <c r="K19" s="443">
        <f t="shared" si="0"/>
        <v>573723.8</v>
      </c>
    </row>
    <row r="20" spans="1:11" ht="39" customHeight="1">
      <c r="A20" s="40" t="s">
        <v>180</v>
      </c>
      <c r="B20" s="437">
        <f>'2-2'!L142</f>
        <v>0</v>
      </c>
      <c r="C20" s="438">
        <f>'2-2'!L143</f>
        <v>0</v>
      </c>
      <c r="D20" s="438">
        <f>'2-2'!L144</f>
        <v>0</v>
      </c>
      <c r="E20" s="438">
        <f>'2-2'!L145</f>
        <v>0</v>
      </c>
      <c r="F20" s="438">
        <f>'2-2'!L146</f>
        <v>0</v>
      </c>
      <c r="G20" s="438">
        <f>'2-2'!L147</f>
        <v>0</v>
      </c>
      <c r="H20" s="438">
        <f>'2-2'!L148</f>
        <v>3964</v>
      </c>
      <c r="I20" s="438">
        <f>'2-2'!L149</f>
        <v>0</v>
      </c>
      <c r="J20" s="438">
        <f>'2-2'!L150</f>
        <v>11000</v>
      </c>
      <c r="K20" s="440">
        <f t="shared" si="0"/>
        <v>14964</v>
      </c>
    </row>
    <row r="21" spans="1:11" ht="39" customHeight="1" thickBot="1">
      <c r="A21" s="476" t="s">
        <v>201</v>
      </c>
      <c r="B21" s="434">
        <f>B19-B20</f>
        <v>20000</v>
      </c>
      <c r="C21" s="321">
        <f>C19-C20</f>
        <v>0</v>
      </c>
      <c r="D21" s="321">
        <f aca="true" t="shared" si="2" ref="D21:J21">D19-D20</f>
        <v>460497.8</v>
      </c>
      <c r="E21" s="321">
        <f t="shared" si="2"/>
        <v>0</v>
      </c>
      <c r="F21" s="321">
        <f t="shared" si="2"/>
        <v>0</v>
      </c>
      <c r="G21" s="321">
        <f t="shared" si="2"/>
        <v>40932</v>
      </c>
      <c r="H21" s="321">
        <f t="shared" si="2"/>
        <v>0</v>
      </c>
      <c r="I21" s="321">
        <f t="shared" si="2"/>
        <v>0</v>
      </c>
      <c r="J21" s="321">
        <f t="shared" si="2"/>
        <v>37330</v>
      </c>
      <c r="K21" s="436">
        <f t="shared" si="0"/>
        <v>558759.8</v>
      </c>
    </row>
    <row r="22" spans="1:11" ht="39" customHeight="1" thickBot="1">
      <c r="A22" s="32" t="s">
        <v>117</v>
      </c>
      <c r="B22" s="441">
        <f>B18-B21</f>
        <v>50000</v>
      </c>
      <c r="C22" s="441">
        <f aca="true" t="shared" si="3" ref="C22:J22">C18-C21</f>
        <v>0</v>
      </c>
      <c r="D22" s="441">
        <f t="shared" si="3"/>
        <v>189502.2</v>
      </c>
      <c r="E22" s="441">
        <f t="shared" si="3"/>
        <v>0</v>
      </c>
      <c r="F22" s="441">
        <f t="shared" si="3"/>
        <v>0</v>
      </c>
      <c r="G22" s="441">
        <f t="shared" si="3"/>
        <v>9068</v>
      </c>
      <c r="H22" s="441">
        <f t="shared" si="3"/>
        <v>0</v>
      </c>
      <c r="I22" s="441">
        <f t="shared" si="3"/>
        <v>0</v>
      </c>
      <c r="J22" s="441">
        <f t="shared" si="3"/>
        <v>2000</v>
      </c>
      <c r="K22" s="443">
        <f t="shared" si="0"/>
        <v>250570.2</v>
      </c>
    </row>
    <row r="23" spans="1:11" ht="39" customHeight="1">
      <c r="A23" s="30" t="s">
        <v>167</v>
      </c>
      <c r="B23" s="224">
        <f>'2-4'!G107</f>
        <v>80000</v>
      </c>
      <c r="C23" s="224">
        <f>'2-4'!G108</f>
        <v>0</v>
      </c>
      <c r="D23" s="224">
        <f>'2-4'!G109</f>
        <v>415500</v>
      </c>
      <c r="E23" s="224">
        <f>'2-4'!G110</f>
        <v>0</v>
      </c>
      <c r="F23" s="224">
        <f>'2-4'!G111</f>
        <v>0</v>
      </c>
      <c r="G23" s="224">
        <f>'2-4'!G112</f>
        <v>0</v>
      </c>
      <c r="H23" s="224">
        <f>'2-4'!G113</f>
        <v>120000</v>
      </c>
      <c r="I23" s="224">
        <f>'2-4'!G114</f>
        <v>0</v>
      </c>
      <c r="J23" s="224">
        <f>'2-4'!G115</f>
        <v>0</v>
      </c>
      <c r="K23" s="433">
        <f t="shared" si="0"/>
        <v>615500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30000</v>
      </c>
      <c r="C25" s="434">
        <f aca="true" t="shared" si="4" ref="C25:J25">C23-C24-C22</f>
        <v>0</v>
      </c>
      <c r="D25" s="434">
        <f t="shared" si="4"/>
        <v>225997.8</v>
      </c>
      <c r="E25" s="434">
        <f t="shared" si="4"/>
        <v>0</v>
      </c>
      <c r="F25" s="434">
        <f t="shared" si="4"/>
        <v>0</v>
      </c>
      <c r="G25" s="434">
        <f t="shared" si="4"/>
        <v>-9068</v>
      </c>
      <c r="H25" s="434">
        <f t="shared" si="4"/>
        <v>120000</v>
      </c>
      <c r="I25" s="434">
        <f t="shared" si="4"/>
        <v>0</v>
      </c>
      <c r="J25" s="434">
        <f t="shared" si="4"/>
        <v>-2000</v>
      </c>
      <c r="K25" s="436">
        <f t="shared" si="0"/>
        <v>364929.8</v>
      </c>
    </row>
    <row r="26" spans="1:11" ht="39" customHeight="1" thickBot="1">
      <c r="A26" s="22" t="s">
        <v>118</v>
      </c>
      <c r="B26" s="219">
        <f>B19+B23</f>
        <v>100000</v>
      </c>
      <c r="C26" s="219">
        <f aca="true" t="shared" si="5" ref="C26:J26">C19+C23</f>
        <v>0</v>
      </c>
      <c r="D26" s="219">
        <f t="shared" si="5"/>
        <v>875997.8</v>
      </c>
      <c r="E26" s="219">
        <f t="shared" si="5"/>
        <v>0</v>
      </c>
      <c r="F26" s="219">
        <f t="shared" si="5"/>
        <v>0</v>
      </c>
      <c r="G26" s="219">
        <f t="shared" si="5"/>
        <v>40932</v>
      </c>
      <c r="H26" s="219">
        <f t="shared" si="5"/>
        <v>123964</v>
      </c>
      <c r="I26" s="219">
        <f t="shared" si="5"/>
        <v>0</v>
      </c>
      <c r="J26" s="219">
        <f t="shared" si="5"/>
        <v>48330</v>
      </c>
      <c r="K26" s="222">
        <f t="shared" si="0"/>
        <v>1189223.8</v>
      </c>
    </row>
    <row r="27" spans="1:11" ht="39" customHeight="1" thickBot="1">
      <c r="A27" s="32" t="s">
        <v>104</v>
      </c>
      <c r="B27" s="558" t="s">
        <v>319</v>
      </c>
      <c r="C27" s="558"/>
      <c r="D27" s="558"/>
      <c r="E27" s="558"/>
      <c r="F27" s="558"/>
      <c r="G27" s="558"/>
      <c r="H27" s="558"/>
      <c r="I27" s="558"/>
      <c r="J27" s="558"/>
      <c r="K27" s="55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L22" sqref="L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7" t="s">
        <v>143</v>
      </c>
      <c r="G2" s="608"/>
      <c r="H2" s="608"/>
      <c r="I2" s="608"/>
      <c r="J2" s="608"/>
      <c r="K2" s="547" t="s">
        <v>115</v>
      </c>
      <c r="L2" s="545"/>
      <c r="M2" s="545"/>
      <c r="N2" s="545"/>
      <c r="O2" s="546"/>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7" t="s">
        <v>111</v>
      </c>
      <c r="Q3" s="295" t="s">
        <v>107</v>
      </c>
      <c r="R3" s="62" t="s">
        <v>148</v>
      </c>
      <c r="S3" s="61" t="s">
        <v>149</v>
      </c>
      <c r="T3" s="61" t="s">
        <v>150</v>
      </c>
      <c r="U3" s="61" t="s">
        <v>151</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50330</v>
      </c>
      <c r="H4" s="304">
        <f>IF($R4=1,,VLOOKUP($D4,'1-2'!$D$4:$L$103,5))</f>
        <v>1</v>
      </c>
      <c r="I4" s="304">
        <f>IF($R4=1,,VLOOKUP($D4,'1-2'!$D$4:$L$103,6))</f>
        <v>1</v>
      </c>
      <c r="J4" s="305">
        <f>IF($R4=1,,VLOOKUP($D4,'1-2'!$D$4:$L$103,7))</f>
        <v>50330</v>
      </c>
      <c r="K4" s="306" t="str">
        <f aca="true" t="shared" si="0" ref="K4:N5">F4</f>
        <v>各種団体負担金（会費）</v>
      </c>
      <c r="L4" s="307">
        <v>48330</v>
      </c>
      <c r="M4" s="308">
        <f t="shared" si="0"/>
        <v>1</v>
      </c>
      <c r="N4" s="308">
        <f t="shared" si="0"/>
        <v>1</v>
      </c>
      <c r="O4" s="309">
        <f>L4*M4*N4</f>
        <v>48330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1-(1)-オ</v>
      </c>
      <c r="C5" s="479" t="str">
        <f>'1-2'!C5</f>
        <v>学校経営上の数値目標</v>
      </c>
      <c r="D5" s="254">
        <v>2</v>
      </c>
      <c r="E5" s="314" t="str">
        <f>IF($R5=1,"",VLOOKUP($D5,'1-2'!$D$4:$L$103,2))</f>
        <v>委託料</v>
      </c>
      <c r="F5" s="315" t="str">
        <f>IF($R5=1,"取消し",VLOOKUP($D5,'1-2'!$D$4:$L$103,3))</f>
        <v>授業アンケートシステム運用業務委託</v>
      </c>
      <c r="G5" s="224">
        <f>IF($R5=1,,VLOOKUP($D5,'1-2'!$D$4:$L$103,4))</f>
        <v>50000</v>
      </c>
      <c r="H5" s="316">
        <f>IF($R5=1,,VLOOKUP($D5,'1-2'!$D$4:$L$103,5))</f>
        <v>1</v>
      </c>
      <c r="I5" s="316">
        <f>IF($R5=1,,VLOOKUP($D5,'1-2'!$D$4:$L$103,6))</f>
        <v>1</v>
      </c>
      <c r="J5" s="317">
        <f>IF($R5=1,,VLOOKUP($D5,'1-2'!$D$4:$L$103,7))</f>
        <v>50000</v>
      </c>
      <c r="K5" s="318" t="str">
        <f t="shared" si="0"/>
        <v>授業アンケートシステム運用業務委託</v>
      </c>
      <c r="L5" s="319">
        <v>40932</v>
      </c>
      <c r="M5" s="320">
        <f t="shared" si="0"/>
        <v>1</v>
      </c>
      <c r="N5" s="320">
        <f t="shared" si="0"/>
        <v>1</v>
      </c>
      <c r="O5" s="309">
        <f aca="true" t="shared" si="2" ref="O5:O68">L5*M5*N5</f>
        <v>40932</v>
      </c>
      <c r="P5" s="310">
        <f>IF($R5=1,"",VLOOKUP($D5,'1-2'!$D$4:$L$103,8))</f>
        <v>0</v>
      </c>
      <c r="Q5" s="311">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2">
        <f>'1-2'!A6</f>
        <v>0</v>
      </c>
      <c r="B6" s="313">
        <f>'1-2'!B6</f>
        <v>0</v>
      </c>
      <c r="C6" s="479">
        <f>'1-2'!C6</f>
        <v>0</v>
      </c>
      <c r="D6" s="254">
        <v>3</v>
      </c>
      <c r="E6" s="314" t="str">
        <f>IF($R6=1,"",VLOOKUP($D6,'1-2'!$D$4:$L$103,2))</f>
        <v>消耗需用費</v>
      </c>
      <c r="F6" s="315" t="str">
        <f>IF($R6=1,"取消し",VLOOKUP($D6,'1-2'!$D$4:$L$103,3))</f>
        <v>スキャナー</v>
      </c>
      <c r="G6" s="224">
        <f>IF($R6=1,,VLOOKUP($D6,'1-2'!$D$4:$L$103,4))</f>
        <v>80000</v>
      </c>
      <c r="H6" s="316">
        <f>IF($R6=1,,VLOOKUP($D6,'1-2'!$D$4:$L$103,5))</f>
        <v>1</v>
      </c>
      <c r="I6" s="316">
        <f>IF($R6=1,,VLOOKUP($D6,'1-2'!$D$4:$L$103,6))</f>
        <v>1</v>
      </c>
      <c r="J6" s="317">
        <f>IF($R6=1,,VLOOKUP($D6,'1-2'!$D$4:$L$103,7))</f>
        <v>80000</v>
      </c>
      <c r="K6" s="318" t="str">
        <f aca="true" t="shared" si="5" ref="K6:K69">F6</f>
        <v>スキャナー</v>
      </c>
      <c r="L6" s="319">
        <v>42098</v>
      </c>
      <c r="M6" s="320">
        <f aca="true" t="shared" si="6" ref="M6:N10">H6</f>
        <v>1</v>
      </c>
      <c r="N6" s="320">
        <f t="shared" si="6"/>
        <v>1</v>
      </c>
      <c r="O6" s="309">
        <f t="shared" si="2"/>
        <v>42098</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2</v>
      </c>
      <c r="B7" s="313" t="str">
        <f>'1-2'!B7</f>
        <v>1-(2)-ア</v>
      </c>
      <c r="C7" s="479" t="str">
        <f>'1-2'!C7</f>
        <v>専門コース演習科目の内容充実</v>
      </c>
      <c r="D7" s="254">
        <v>4</v>
      </c>
      <c r="E7" s="314" t="str">
        <f>IF($R7=1,"",VLOOKUP($D7,'1-2'!$D$4:$L$103,2))</f>
        <v>報償費</v>
      </c>
      <c r="F7" s="315" t="str">
        <f>IF($R7=1,"取消し",VLOOKUP($D7,'1-2'!$D$4:$L$103,3))</f>
        <v>CSP研修講師謝礼</v>
      </c>
      <c r="G7" s="224">
        <f>IF($R7=1,,VLOOKUP($D7,'1-2'!$D$4:$L$103,4))</f>
        <v>10000</v>
      </c>
      <c r="H7" s="316">
        <f>IF($R7=1,,VLOOKUP($D7,'1-2'!$D$4:$L$103,5))</f>
        <v>1</v>
      </c>
      <c r="I7" s="316">
        <f>IF($R7=1,,VLOOKUP($D7,'1-2'!$D$4:$L$103,6))</f>
        <v>2</v>
      </c>
      <c r="J7" s="317">
        <f>IF($R7=1,,VLOOKUP($D7,'1-2'!$D$4:$L$103,7))</f>
        <v>20000</v>
      </c>
      <c r="K7" s="318" t="str">
        <f t="shared" si="5"/>
        <v>CSP研修講師謝礼</v>
      </c>
      <c r="L7" s="319">
        <v>10000</v>
      </c>
      <c r="M7" s="320">
        <f t="shared" si="6"/>
        <v>1</v>
      </c>
      <c r="N7" s="320">
        <v>1</v>
      </c>
      <c r="O7" s="309">
        <f t="shared" si="2"/>
        <v>10000</v>
      </c>
      <c r="P7" s="310">
        <f>IF($R7=1,"",VLOOKUP($D7,'1-2'!$D$4:$L$103,8))</f>
        <v>0</v>
      </c>
      <c r="Q7" s="311">
        <f>IF($R7=1,"",VLOOKUP($D7,'1-2'!$D$4:$L$103,9))</f>
        <v>0</v>
      </c>
      <c r="R7" s="25">
        <f>IF(ISNA(MATCH($D7,'随時②-2'!$D$4:$D$18,0)),0,1)</f>
        <v>0</v>
      </c>
      <c r="S7" s="63">
        <f t="shared" si="1"/>
      </c>
      <c r="T7" s="63">
        <f t="shared" si="3"/>
      </c>
      <c r="U7" s="5">
        <f t="shared" si="4"/>
        <v>1</v>
      </c>
      <c r="V7" s="5" t="s">
        <v>154</v>
      </c>
      <c r="W7" s="5">
        <v>7</v>
      </c>
    </row>
    <row r="8" spans="1:23" ht="13.5" customHeight="1">
      <c r="A8" s="312">
        <f>'1-2'!A8</f>
        <v>0</v>
      </c>
      <c r="B8" s="313">
        <f>'1-2'!B8</f>
        <v>0</v>
      </c>
      <c r="C8" s="479">
        <f>'1-2'!C8</f>
        <v>0</v>
      </c>
      <c r="D8" s="263">
        <v>5</v>
      </c>
      <c r="E8" s="314" t="str">
        <f>IF($R8=1,"",VLOOKUP($D8,'1-2'!$D$4:$L$103,2))</f>
        <v>報償費</v>
      </c>
      <c r="F8" s="315" t="str">
        <f>IF($R8=1,"取消し",VLOOKUP($D8,'1-2'!$D$4:$L$103,3))</f>
        <v>保育表現演習講師謝礼</v>
      </c>
      <c r="G8" s="224">
        <f>IF($R8=1,,VLOOKUP($D8,'1-2'!$D$4:$L$103,4))</f>
        <v>10000</v>
      </c>
      <c r="H8" s="316">
        <f>IF($R8=1,,VLOOKUP($D8,'1-2'!$D$4:$L$103,5))</f>
        <v>1</v>
      </c>
      <c r="I8" s="316">
        <f>IF($R8=1,,VLOOKUP($D8,'1-2'!$D$4:$L$103,6))</f>
        <v>1</v>
      </c>
      <c r="J8" s="317">
        <f>IF($R8=1,,VLOOKUP($D8,'1-2'!$D$4:$L$103,7))</f>
        <v>10000</v>
      </c>
      <c r="K8" s="318" t="str">
        <f t="shared" si="5"/>
        <v>保育表現演習講師謝礼</v>
      </c>
      <c r="L8" s="319"/>
      <c r="M8" s="320">
        <f t="shared" si="6"/>
        <v>1</v>
      </c>
      <c r="N8" s="320">
        <f t="shared" si="6"/>
        <v>1</v>
      </c>
      <c r="O8" s="309">
        <f t="shared" si="2"/>
        <v>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f>'1-2'!A9</f>
        <v>0</v>
      </c>
      <c r="B9" s="313">
        <f>'1-2'!B9</f>
        <v>0</v>
      </c>
      <c r="C9" s="479">
        <f>'1-2'!C9</f>
        <v>0</v>
      </c>
      <c r="D9" s="254">
        <v>6</v>
      </c>
      <c r="E9" s="314" t="str">
        <f>IF($R9=1,"",VLOOKUP($D9,'1-2'!$D$4:$L$103,2))</f>
        <v>報償費</v>
      </c>
      <c r="F9" s="315" t="str">
        <f>IF($R9=1,"取消し",VLOOKUP($D9,'1-2'!$D$4:$L$103,3))</f>
        <v>介護総合演習講師謝礼</v>
      </c>
      <c r="G9" s="224">
        <f>IF($R9=1,,VLOOKUP($D9,'1-2'!$D$4:$L$103,4))</f>
        <v>5000</v>
      </c>
      <c r="H9" s="316">
        <f>IF($R9=1,,VLOOKUP($D9,'1-2'!$D$4:$L$103,5))</f>
        <v>1</v>
      </c>
      <c r="I9" s="316">
        <f>IF($R9=1,,VLOOKUP($D9,'1-2'!$D$4:$L$103,6))</f>
        <v>8</v>
      </c>
      <c r="J9" s="317">
        <f>IF($R9=1,,VLOOKUP($D9,'1-2'!$D$4:$L$103,7))</f>
        <v>40000</v>
      </c>
      <c r="K9" s="318" t="str">
        <f t="shared" si="5"/>
        <v>介護総合演習講師謝礼</v>
      </c>
      <c r="L9" s="319">
        <v>10000</v>
      </c>
      <c r="M9" s="320">
        <f t="shared" si="6"/>
        <v>1</v>
      </c>
      <c r="N9" s="320">
        <v>1</v>
      </c>
      <c r="O9" s="309">
        <f t="shared" si="2"/>
        <v>10000</v>
      </c>
      <c r="P9" s="310">
        <f>IF($R9=1,"",VLOOKUP($D9,'1-2'!$D$4:$L$103,8))</f>
        <v>0</v>
      </c>
      <c r="Q9" s="311">
        <f>IF($R9=1,"",VLOOKUP($D9,'1-2'!$D$4:$L$103,9))</f>
        <v>0</v>
      </c>
      <c r="R9" s="25">
        <f>IF(ISNA(MATCH($D9,'随時②-2'!$D$4:$D$18,0)),0,1)</f>
        <v>0</v>
      </c>
      <c r="S9" s="63">
        <f t="shared" si="1"/>
      </c>
      <c r="T9" s="63">
        <f t="shared" si="3"/>
      </c>
      <c r="U9" s="5">
        <f t="shared" si="4"/>
        <v>1</v>
      </c>
      <c r="V9" s="5" t="s">
        <v>156</v>
      </c>
      <c r="W9" s="5">
        <v>8</v>
      </c>
    </row>
    <row r="10" spans="1:23" ht="13.5" customHeight="1">
      <c r="A10" s="312">
        <f>'1-2'!A10</f>
        <v>0</v>
      </c>
      <c r="B10" s="313">
        <f>'1-2'!B10</f>
        <v>0</v>
      </c>
      <c r="C10" s="479">
        <f>'1-2'!C10</f>
        <v>0</v>
      </c>
      <c r="D10" s="254">
        <v>7</v>
      </c>
      <c r="E10" s="314" t="str">
        <f>IF($R10=1,"",VLOOKUP($D10,'1-2'!$D$4:$L$103,2))</f>
        <v>消耗需用費</v>
      </c>
      <c r="F10" s="315" t="str">
        <f>IF($R10=1,"取消し",VLOOKUP($D10,'1-2'!$D$4:$L$103,3))</f>
        <v>車いす</v>
      </c>
      <c r="G10" s="224">
        <f>IF($R10=1,,VLOOKUP($D10,'1-2'!$D$4:$L$103,4))</f>
        <v>30000</v>
      </c>
      <c r="H10" s="316">
        <f>IF($R10=1,,VLOOKUP($D10,'1-2'!$D$4:$L$103,5))</f>
        <v>4</v>
      </c>
      <c r="I10" s="316">
        <f>IF($R10=1,,VLOOKUP($D10,'1-2'!$D$4:$L$103,6))</f>
        <v>1</v>
      </c>
      <c r="J10" s="317">
        <f>IF($R10=1,,VLOOKUP($D10,'1-2'!$D$4:$L$103,7))</f>
        <v>120000</v>
      </c>
      <c r="K10" s="318" t="str">
        <f t="shared" si="5"/>
        <v>車いす</v>
      </c>
      <c r="L10" s="319">
        <v>19500</v>
      </c>
      <c r="M10" s="320">
        <v>5</v>
      </c>
      <c r="N10" s="320">
        <f t="shared" si="6"/>
        <v>1</v>
      </c>
      <c r="O10" s="309">
        <f t="shared" si="2"/>
        <v>97500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0</v>
      </c>
      <c r="B11" s="313">
        <f>'1-2'!B11</f>
        <v>0</v>
      </c>
      <c r="C11" s="479">
        <f>'1-2'!C11</f>
        <v>0</v>
      </c>
      <c r="D11" s="263">
        <v>8</v>
      </c>
      <c r="E11" s="314" t="str">
        <f>IF($R11=1,"",VLOOKUP($D11,'1-2'!$D$4:$L$103,2))</f>
        <v>消耗需用費</v>
      </c>
      <c r="F11" s="315" t="str">
        <f>IF($R11=1,"取消し",VLOOKUP($D11,'1-2'!$D$4:$L$103,3))</f>
        <v>食器棚</v>
      </c>
      <c r="G11" s="224">
        <f>IF($R11=1,,VLOOKUP($D11,'1-2'!$D$4:$L$103,4))</f>
        <v>80000</v>
      </c>
      <c r="H11" s="316">
        <f>IF($R11=1,,VLOOKUP($D11,'1-2'!$D$4:$L$103,5))</f>
        <v>1</v>
      </c>
      <c r="I11" s="316">
        <f>IF($R11=1,,VLOOKUP($D11,'1-2'!$D$4:$L$103,6))</f>
        <v>1</v>
      </c>
      <c r="J11" s="317">
        <f>IF($R11=1,,VLOOKUP($D11,'1-2'!$D$4:$L$103,7))</f>
        <v>80000</v>
      </c>
      <c r="K11" s="318" t="str">
        <f t="shared" si="5"/>
        <v>食器棚</v>
      </c>
      <c r="L11" s="319">
        <v>80000</v>
      </c>
      <c r="M11" s="320">
        <f aca="true" t="shared" si="7" ref="M11:M74">H11</f>
        <v>1</v>
      </c>
      <c r="N11" s="320">
        <f aca="true" t="shared" si="8" ref="N11:N74">I11</f>
        <v>1</v>
      </c>
      <c r="O11" s="309">
        <f t="shared" si="2"/>
        <v>80000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3</v>
      </c>
      <c r="B12" s="313" t="str">
        <f>'1-2'!B12</f>
        <v>1-(2)-ウ</v>
      </c>
      <c r="C12" s="479" t="str">
        <f>'1-2'!C12</f>
        <v>入学志願者数の安定</v>
      </c>
      <c r="D12" s="263">
        <v>9</v>
      </c>
      <c r="E12" s="314" t="str">
        <f>IF($R12=1,"",VLOOKUP($D12,'1-2'!$D$4:$L$103,2))</f>
        <v>消耗需用費</v>
      </c>
      <c r="F12" s="315" t="str">
        <f>IF($R12=1,"取消し",VLOOKUP($D12,'1-2'!$D$4:$L$103,3))</f>
        <v>学校案内パンフレット</v>
      </c>
      <c r="G12" s="224">
        <f>IF($R12=1,,VLOOKUP($D12,'1-2'!$D$4:$L$103,4))</f>
        <v>30</v>
      </c>
      <c r="H12" s="316">
        <f>IF($R12=1,,VLOOKUP($D12,'1-2'!$D$4:$L$103,5))</f>
        <v>3000</v>
      </c>
      <c r="I12" s="316">
        <f>IF($R12=1,,VLOOKUP($D12,'1-2'!$D$4:$L$103,6))</f>
        <v>1</v>
      </c>
      <c r="J12" s="317">
        <f>IF($R12=1,,VLOOKUP($D12,'1-2'!$D$4:$L$103,7))</f>
        <v>90000</v>
      </c>
      <c r="K12" s="318" t="str">
        <f t="shared" si="5"/>
        <v>学校案内パンフレット</v>
      </c>
      <c r="L12" s="483">
        <v>24.5</v>
      </c>
      <c r="M12" s="320">
        <f t="shared" si="7"/>
        <v>3000</v>
      </c>
      <c r="N12" s="320">
        <f t="shared" si="8"/>
        <v>1</v>
      </c>
      <c r="O12" s="309">
        <f t="shared" si="2"/>
        <v>73500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0</v>
      </c>
      <c r="B13" s="313">
        <f>'1-2'!B13</f>
        <v>0</v>
      </c>
      <c r="C13" s="479">
        <f>'1-2'!C13</f>
        <v>0</v>
      </c>
      <c r="D13" s="273">
        <v>10</v>
      </c>
      <c r="E13" s="314" t="str">
        <f>IF($R13=1,"",VLOOKUP($D13,'1-2'!$D$4:$L$103,2))</f>
        <v>消耗需用費</v>
      </c>
      <c r="F13" s="315" t="str">
        <f>IF($R13=1,"取消し",VLOOKUP($D13,'1-2'!$D$4:$L$103,3))</f>
        <v>カラープリンター</v>
      </c>
      <c r="G13" s="224">
        <f>IF($R13=1,,VLOOKUP($D13,'1-2'!$D$4:$L$103,4))</f>
        <v>80000</v>
      </c>
      <c r="H13" s="316">
        <f>IF($R13=1,,VLOOKUP($D13,'1-2'!$D$4:$L$103,5))</f>
        <v>2</v>
      </c>
      <c r="I13" s="316">
        <f>IF($R13=1,,VLOOKUP($D13,'1-2'!$D$4:$L$103,6))</f>
        <v>1</v>
      </c>
      <c r="J13" s="317">
        <f>IF($R13=1,,VLOOKUP($D13,'1-2'!$D$4:$L$103,7))</f>
        <v>160000</v>
      </c>
      <c r="K13" s="318" t="str">
        <f t="shared" si="5"/>
        <v>カラープリンター</v>
      </c>
      <c r="L13" s="319">
        <v>35640</v>
      </c>
      <c r="M13" s="320">
        <f t="shared" si="7"/>
        <v>2</v>
      </c>
      <c r="N13" s="320">
        <f t="shared" si="8"/>
        <v>1</v>
      </c>
      <c r="O13" s="309">
        <f t="shared" si="2"/>
        <v>71280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0</v>
      </c>
      <c r="B14" s="313">
        <f>'1-2'!B14</f>
        <v>0</v>
      </c>
      <c r="C14" s="479">
        <f>'1-2'!C14</f>
        <v>0</v>
      </c>
      <c r="D14" s="254">
        <v>11</v>
      </c>
      <c r="E14" s="314" t="str">
        <f>IF($R14=1,"",VLOOKUP($D14,'1-2'!$D$4:$L$103,2))</f>
        <v>消耗需用費</v>
      </c>
      <c r="F14" s="315" t="str">
        <f>IF($R14=1,"取消し",VLOOKUP($D14,'1-2'!$D$4:$L$103,3))</f>
        <v>カラープリンター消耗品</v>
      </c>
      <c r="G14" s="224">
        <f>IF($R14=1,,VLOOKUP($D14,'1-2'!$D$4:$L$103,4))</f>
        <v>15000</v>
      </c>
      <c r="H14" s="316">
        <f>IF($R14=1,,VLOOKUP($D14,'1-2'!$D$4:$L$103,5))</f>
        <v>8</v>
      </c>
      <c r="I14" s="316">
        <f>IF($R14=1,,VLOOKUP($D14,'1-2'!$D$4:$L$103,6))</f>
        <v>1</v>
      </c>
      <c r="J14" s="317">
        <f>IF($R14=1,,VLOOKUP($D14,'1-2'!$D$4:$L$103,7))</f>
        <v>120000</v>
      </c>
      <c r="K14" s="318" t="str">
        <f t="shared" si="5"/>
        <v>カラープリンター消耗品</v>
      </c>
      <c r="L14" s="319">
        <v>6865.7</v>
      </c>
      <c r="M14" s="320">
        <v>14</v>
      </c>
      <c r="N14" s="320">
        <f t="shared" si="8"/>
        <v>1</v>
      </c>
      <c r="O14" s="309">
        <f t="shared" si="2"/>
        <v>96119.8</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f>'1-2'!B15</f>
        <v>0</v>
      </c>
      <c r="C15" s="479">
        <f>'1-2'!C15</f>
        <v>0</v>
      </c>
      <c r="D15" s="254">
        <v>12</v>
      </c>
      <c r="E15" s="314" t="str">
        <f>IF($R15=1,"",VLOOKUP($D15,'1-2'!$D$4:$L$103,2))</f>
        <v>使用料及び賃借料</v>
      </c>
      <c r="F15" s="315" t="str">
        <f>IF($R15=1,"取消し",VLOOKUP($D15,'1-2'!$D$4:$L$103,3))</f>
        <v>９地区学校説明会会場費</v>
      </c>
      <c r="G15" s="224">
        <f>IF($R15=1,,VLOOKUP($D15,'1-2'!$D$4:$L$103,4))</f>
        <v>3964</v>
      </c>
      <c r="H15" s="316">
        <f>IF($R15=1,,VLOOKUP($D15,'1-2'!$D$4:$L$103,5))</f>
        <v>1</v>
      </c>
      <c r="I15" s="316">
        <f>IF($R15=1,,VLOOKUP($D15,'1-2'!$D$4:$L$103,6))</f>
        <v>1</v>
      </c>
      <c r="J15" s="317">
        <f>IF($R15=1,,VLOOKUP($D15,'1-2'!$D$4:$L$103,7))</f>
        <v>3964</v>
      </c>
      <c r="K15" s="318" t="str">
        <f t="shared" si="5"/>
        <v>９地区学校説明会会場費</v>
      </c>
      <c r="L15" s="319">
        <v>3964</v>
      </c>
      <c r="M15" s="320">
        <f t="shared" si="7"/>
        <v>1</v>
      </c>
      <c r="N15" s="320">
        <f t="shared" si="8"/>
        <v>1</v>
      </c>
      <c r="O15" s="309">
        <f t="shared" si="2"/>
        <v>3964</v>
      </c>
      <c r="P15" s="310" t="str">
        <f>IF($R15=1,"",VLOOKUP($D15,'1-2'!$D$4:$L$103,8))</f>
        <v>◎</v>
      </c>
      <c r="Q15" s="311" t="str">
        <f>IF($R15=1,"",VLOOKUP($D15,'1-2'!$D$4:$L$103,9))</f>
        <v>幹事校：久米田高校</v>
      </c>
      <c r="R15" s="25">
        <f>IF(ISNA(MATCH($D15,'随時②-2'!$D$4:$D$18,0)),0,1)</f>
        <v>0</v>
      </c>
      <c r="S15" s="63">
        <f t="shared" si="1"/>
        <v>3964</v>
      </c>
      <c r="T15" s="63">
        <f t="shared" si="3"/>
        <v>3964</v>
      </c>
      <c r="U15" s="5">
        <f t="shared" si="4"/>
        <v>7</v>
      </c>
    </row>
    <row r="16" spans="1:21" ht="13.5" customHeight="1">
      <c r="A16" s="312">
        <f>'1-2'!A16</f>
        <v>0</v>
      </c>
      <c r="B16" s="313">
        <f>'1-2'!B16</f>
        <v>0</v>
      </c>
      <c r="C16" s="479">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aca="true" t="shared" si="9" ref="L16:L74">G16</f>
        <v>0</v>
      </c>
      <c r="M16" s="320">
        <f t="shared" si="7"/>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9">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9"/>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7" t="s">
        <v>178</v>
      </c>
      <c r="I141" s="598"/>
      <c r="J141" s="38" t="s">
        <v>113</v>
      </c>
      <c r="K141" s="38" t="s">
        <v>175</v>
      </c>
      <c r="L141" s="540" t="s">
        <v>176</v>
      </c>
      <c r="M141" s="599"/>
      <c r="N141" s="600" t="s">
        <v>177</v>
      </c>
      <c r="O141" s="601"/>
      <c r="P141" s="615" t="s">
        <v>114</v>
      </c>
      <c r="Q141" s="616"/>
    </row>
    <row r="142" spans="6:17" ht="14.25" thickTop="1">
      <c r="F142" s="346" t="s">
        <v>85</v>
      </c>
      <c r="G142" s="347">
        <f>SUMIF($E$4:$E$138,$F142,$J$4:$J$138)</f>
        <v>70000</v>
      </c>
      <c r="H142" s="602">
        <f>SUMIF($E$4:$E$138,$F142,$S$4:$S$138)</f>
        <v>0</v>
      </c>
      <c r="I142" s="603"/>
      <c r="J142" s="348">
        <f>G142-H142</f>
        <v>70000</v>
      </c>
      <c r="K142" s="347">
        <f>SUMIF($E$4:$E$138,$F142,$O$4:$O$138)</f>
        <v>20000</v>
      </c>
      <c r="L142" s="602">
        <f>SUMIF($E$4:$E$138,$F142,$T$4:$T$138)</f>
        <v>0</v>
      </c>
      <c r="M142" s="604"/>
      <c r="N142" s="605">
        <f>K142-L142</f>
        <v>20000</v>
      </c>
      <c r="O142" s="606"/>
      <c r="P142" s="531">
        <f>J142-N142</f>
        <v>50000</v>
      </c>
      <c r="Q142" s="617"/>
    </row>
    <row r="143" spans="6:17" ht="13.5">
      <c r="F143" s="346" t="s">
        <v>86</v>
      </c>
      <c r="G143" s="349">
        <f aca="true" t="shared" si="22" ref="G143:G150">SUMIF($E$4:$E$138,$F143,$J$4:$J$138)</f>
        <v>0</v>
      </c>
      <c r="H143" s="528">
        <f>SUMIF($E$4:$E$138,$F143,$S$4:$S$138)</f>
        <v>0</v>
      </c>
      <c r="I143" s="595"/>
      <c r="J143" s="350">
        <f>G143-H143</f>
        <v>0</v>
      </c>
      <c r="K143" s="347">
        <f aca="true" t="shared" si="23" ref="K143:K150">SUMIF($E$4:$E$138,$F143,$O$4:$O$138)</f>
        <v>0</v>
      </c>
      <c r="L143" s="527">
        <f aca="true" t="shared" si="24" ref="L143:L149">SUMIF($E$4:$E$138,$F143,$T$4:$T$138)</f>
        <v>0</v>
      </c>
      <c r="M143" s="530"/>
      <c r="N143" s="596">
        <f>K143-L143</f>
        <v>0</v>
      </c>
      <c r="O143" s="595"/>
      <c r="P143" s="527">
        <f aca="true" t="shared" si="25" ref="P143:P150">J143-N143</f>
        <v>0</v>
      </c>
      <c r="Q143" s="530"/>
    </row>
    <row r="144" spans="6:17" ht="13.5">
      <c r="F144" s="346" t="s">
        <v>125</v>
      </c>
      <c r="G144" s="347">
        <f t="shared" si="22"/>
        <v>650000</v>
      </c>
      <c r="H144" s="528">
        <f aca="true" t="shared" si="26" ref="H144:H149">SUMIF($E$4:$E$138,$F144,$S$4:$S$138)</f>
        <v>0</v>
      </c>
      <c r="I144" s="595"/>
      <c r="J144" s="350">
        <f aca="true" t="shared" si="27" ref="J144:J150">G144-H144</f>
        <v>650000</v>
      </c>
      <c r="K144" s="347">
        <f t="shared" si="23"/>
        <v>460497.8</v>
      </c>
      <c r="L144" s="527">
        <f t="shared" si="24"/>
        <v>0</v>
      </c>
      <c r="M144" s="530"/>
      <c r="N144" s="596">
        <f aca="true" t="shared" si="28" ref="N144:N150">K144-L144</f>
        <v>460497.8</v>
      </c>
      <c r="O144" s="595"/>
      <c r="P144" s="527">
        <f t="shared" si="25"/>
        <v>189502.2</v>
      </c>
      <c r="Q144" s="530"/>
    </row>
    <row r="145" spans="6:17" ht="13.5">
      <c r="F145" s="346" t="s">
        <v>126</v>
      </c>
      <c r="G145" s="347">
        <f t="shared" si="22"/>
        <v>0</v>
      </c>
      <c r="H145" s="528">
        <f t="shared" si="26"/>
        <v>0</v>
      </c>
      <c r="I145" s="595"/>
      <c r="J145" s="350">
        <f t="shared" si="27"/>
        <v>0</v>
      </c>
      <c r="K145" s="347">
        <f t="shared" si="23"/>
        <v>0</v>
      </c>
      <c r="L145" s="527">
        <f t="shared" si="24"/>
        <v>0</v>
      </c>
      <c r="M145" s="530"/>
      <c r="N145" s="596">
        <f t="shared" si="28"/>
        <v>0</v>
      </c>
      <c r="O145" s="595"/>
      <c r="P145" s="527">
        <f t="shared" si="25"/>
        <v>0</v>
      </c>
      <c r="Q145" s="530"/>
    </row>
    <row r="146" spans="6:17" ht="13.5">
      <c r="F146" s="346" t="s">
        <v>87</v>
      </c>
      <c r="G146" s="347">
        <f t="shared" si="22"/>
        <v>0</v>
      </c>
      <c r="H146" s="528">
        <f t="shared" si="26"/>
        <v>0</v>
      </c>
      <c r="I146" s="595"/>
      <c r="J146" s="350">
        <f t="shared" si="27"/>
        <v>0</v>
      </c>
      <c r="K146" s="347">
        <f t="shared" si="23"/>
        <v>0</v>
      </c>
      <c r="L146" s="527">
        <f t="shared" si="24"/>
        <v>0</v>
      </c>
      <c r="M146" s="530"/>
      <c r="N146" s="596">
        <f t="shared" si="28"/>
        <v>0</v>
      </c>
      <c r="O146" s="595"/>
      <c r="P146" s="527">
        <f t="shared" si="25"/>
        <v>0</v>
      </c>
      <c r="Q146" s="530"/>
    </row>
    <row r="147" spans="6:17" ht="13.5">
      <c r="F147" s="346" t="s">
        <v>88</v>
      </c>
      <c r="G147" s="347">
        <f t="shared" si="22"/>
        <v>50000</v>
      </c>
      <c r="H147" s="528">
        <f t="shared" si="26"/>
        <v>0</v>
      </c>
      <c r="I147" s="595"/>
      <c r="J147" s="350">
        <f t="shared" si="27"/>
        <v>50000</v>
      </c>
      <c r="K147" s="347">
        <f t="shared" si="23"/>
        <v>40932</v>
      </c>
      <c r="L147" s="527">
        <f t="shared" si="24"/>
        <v>0</v>
      </c>
      <c r="M147" s="530"/>
      <c r="N147" s="596">
        <f t="shared" si="28"/>
        <v>40932</v>
      </c>
      <c r="O147" s="595"/>
      <c r="P147" s="527">
        <f t="shared" si="25"/>
        <v>9068</v>
      </c>
      <c r="Q147" s="530"/>
    </row>
    <row r="148" spans="6:17" ht="13.5">
      <c r="F148" s="346" t="s">
        <v>89</v>
      </c>
      <c r="G148" s="347">
        <f t="shared" si="22"/>
        <v>3964</v>
      </c>
      <c r="H148" s="528">
        <f t="shared" si="26"/>
        <v>3964</v>
      </c>
      <c r="I148" s="595"/>
      <c r="J148" s="350">
        <f t="shared" si="27"/>
        <v>0</v>
      </c>
      <c r="K148" s="347">
        <f t="shared" si="23"/>
        <v>3964</v>
      </c>
      <c r="L148" s="527">
        <f t="shared" si="24"/>
        <v>3964</v>
      </c>
      <c r="M148" s="530"/>
      <c r="N148" s="596">
        <f t="shared" si="28"/>
        <v>0</v>
      </c>
      <c r="O148" s="595"/>
      <c r="P148" s="527">
        <f t="shared" si="25"/>
        <v>0</v>
      </c>
      <c r="Q148" s="530"/>
    </row>
    <row r="149" spans="6:17" ht="13.5">
      <c r="F149" s="346" t="s">
        <v>90</v>
      </c>
      <c r="G149" s="347">
        <f t="shared" si="22"/>
        <v>0</v>
      </c>
      <c r="H149" s="528">
        <f t="shared" si="26"/>
        <v>0</v>
      </c>
      <c r="I149" s="595"/>
      <c r="J149" s="350">
        <f t="shared" si="27"/>
        <v>0</v>
      </c>
      <c r="K149" s="347">
        <f t="shared" si="23"/>
        <v>0</v>
      </c>
      <c r="L149" s="527">
        <f t="shared" si="24"/>
        <v>0</v>
      </c>
      <c r="M149" s="530"/>
      <c r="N149" s="596">
        <f t="shared" si="28"/>
        <v>0</v>
      </c>
      <c r="O149" s="595"/>
      <c r="P149" s="527">
        <f t="shared" si="25"/>
        <v>0</v>
      </c>
      <c r="Q149" s="530"/>
    </row>
    <row r="150" spans="6:17" ht="14.25" thickBot="1">
      <c r="F150" s="346" t="s">
        <v>138</v>
      </c>
      <c r="G150" s="347">
        <f t="shared" si="22"/>
        <v>50330</v>
      </c>
      <c r="H150" s="528">
        <f>SUMIF($E$4:$E$138,$F150,$S$4:$S$138)+'2-3'!G122</f>
        <v>11000</v>
      </c>
      <c r="I150" s="595"/>
      <c r="J150" s="350">
        <f t="shared" si="27"/>
        <v>39330</v>
      </c>
      <c r="K150" s="347">
        <f t="shared" si="23"/>
        <v>48330</v>
      </c>
      <c r="L150" s="613">
        <f>SUMIF($E$4:$E$138,$F150,$T$4:$T$138)+'2-3'!E122</f>
        <v>11000</v>
      </c>
      <c r="M150" s="614"/>
      <c r="N150" s="596">
        <f t="shared" si="28"/>
        <v>37330</v>
      </c>
      <c r="O150" s="595"/>
      <c r="P150" s="613">
        <f t="shared" si="25"/>
        <v>2000</v>
      </c>
      <c r="Q150" s="614"/>
    </row>
    <row r="151" spans="6:17" ht="15" thickBot="1" thickTop="1">
      <c r="F151" s="353" t="s">
        <v>15</v>
      </c>
      <c r="G151" s="354">
        <f>SUM(G142:G150)</f>
        <v>824294</v>
      </c>
      <c r="H151" s="524">
        <f>SUM(H142:I150)</f>
        <v>14964</v>
      </c>
      <c r="I151" s="609"/>
      <c r="J151" s="354">
        <f>SUM(J142:J150)</f>
        <v>809330</v>
      </c>
      <c r="K151" s="354">
        <f>SUM(K142:K150)</f>
        <v>573723.8</v>
      </c>
      <c r="L151" s="610">
        <f>SUM(L142:M150)</f>
        <v>14964</v>
      </c>
      <c r="M151" s="611"/>
      <c r="N151" s="609">
        <f>SUM(N142:O150)</f>
        <v>558759.8</v>
      </c>
      <c r="O151" s="612"/>
      <c r="P151" s="610">
        <f>SUM(P142:Q150)</f>
        <v>250570.2</v>
      </c>
      <c r="Q151" s="61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8" activePane="bottomRight" state="frozen"/>
      <selection pane="topLeft" activeCell="E23" sqref="E23"/>
      <selection pane="topRight" activeCell="E23" sqref="E23"/>
      <selection pane="bottomLeft" activeCell="E23" sqref="E23"/>
      <selection pane="bottomRight" activeCell="E108" sqref="E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2" t="s">
        <v>261</v>
      </c>
      <c r="B1" s="622"/>
      <c r="C1" s="622"/>
      <c r="D1" s="622"/>
      <c r="E1" s="622"/>
      <c r="F1" s="622"/>
      <c r="G1" s="623"/>
      <c r="H1" s="623"/>
      <c r="I1" s="623"/>
    </row>
    <row r="2" spans="1:9" ht="15" customHeight="1" thickBot="1">
      <c r="A2" s="8"/>
      <c r="B2" s="7" t="s">
        <v>244</v>
      </c>
      <c r="C2" s="87"/>
      <c r="E2" s="116"/>
      <c r="F2" s="117" t="s">
        <v>112</v>
      </c>
      <c r="G2" s="208">
        <f>SUM(E5:E119)</f>
        <v>48330</v>
      </c>
      <c r="H2" s="72" t="s">
        <v>188</v>
      </c>
      <c r="I2" s="208">
        <f>SUM(H5:H119)</f>
        <v>0</v>
      </c>
    </row>
    <row r="3" spans="1:9" ht="15" customHeight="1" thickBot="1">
      <c r="A3" s="8"/>
      <c r="B3" s="7"/>
      <c r="C3" s="87"/>
      <c r="E3" s="618" t="s">
        <v>181</v>
      </c>
      <c r="F3" s="619"/>
      <c r="G3" s="620"/>
      <c r="H3" s="618" t="s">
        <v>182</v>
      </c>
      <c r="I3" s="62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泉南地区中学校高等学校生徒指導研究協議会</v>
      </c>
      <c r="E105" s="191">
        <f t="shared" si="2"/>
        <v>2000</v>
      </c>
      <c r="F105" s="193">
        <f>IF('1-3'!E104="","",'1-3'!E104)</f>
        <v>2000</v>
      </c>
      <c r="G105" s="128">
        <f t="shared" si="3"/>
      </c>
      <c r="H105" s="215"/>
      <c r="I105" s="128"/>
      <c r="J105" s="125">
        <f>IF('1-3'!F104="","",'1-3'!F104)</f>
      </c>
    </row>
    <row r="106" spans="1:10" ht="15" customHeight="1">
      <c r="A106" s="102">
        <v>102</v>
      </c>
      <c r="B106" s="153">
        <f>IF('1-3'!B105="","",'1-3'!B105)</f>
      </c>
      <c r="C106" s="153">
        <f>IF('1-3'!C105="","",'1-3'!C105)</f>
      </c>
      <c r="D106" s="132" t="str">
        <f>IF('1-3'!D105="","",'1-3'!D105)</f>
        <v>泉南地区高等学校生活指導研究会</v>
      </c>
      <c r="E106" s="186"/>
      <c r="F106" s="195">
        <f>IF('1-3'!E105="","",'1-3'!E105)</f>
        <v>2000</v>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48330</v>
      </c>
      <c r="F121" s="118" t="s">
        <v>186</v>
      </c>
      <c r="G121" s="181">
        <f>SUM(F5:F119)</f>
        <v>50330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37330</v>
      </c>
      <c r="F123" s="120" t="s">
        <v>187</v>
      </c>
      <c r="G123" s="183">
        <f>G121-G122</f>
        <v>39330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2018-06-22T04:41:27Z</cp:lastPrinted>
  <dcterms:created xsi:type="dcterms:W3CDTF">2007-02-21T01:05:33Z</dcterms:created>
  <dcterms:modified xsi:type="dcterms:W3CDTF">2018-06-22T04:41:43Z</dcterms:modified>
  <cp:category/>
  <cp:version/>
  <cp:contentType/>
  <cp:contentStatus/>
</cp:coreProperties>
</file>